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0" windowWidth="15240" windowHeight="8460" tabRatio="683" firstSheet="7" activeTab="11"/>
  </bookViews>
  <sheets>
    <sheet name="Этапы финансирования" sheetId="1" r:id="rId1"/>
    <sheet name="1" sheetId="2" r:id="rId2"/>
    <sheet name="2-инвестиции" sheetId="3" r:id="rId3"/>
    <sheet name="3" sheetId="4" r:id="rId4"/>
    <sheet name="4" sheetId="5" r:id="rId5"/>
    <sheet name="5-ЗП" sheetId="6" r:id="rId6"/>
    <sheet name="6-затраты" sheetId="7" r:id="rId7"/>
    <sheet name="7" sheetId="8" r:id="rId8"/>
    <sheet name="8" sheetId="9" r:id="rId9"/>
    <sheet name="9" sheetId="10" r:id="rId10"/>
    <sheet name="10" sheetId="11" r:id="rId11"/>
    <sheet name="НАЛОГИ" sheetId="12" r:id="rId12"/>
    <sheet name="ИЗ -внедрение" sheetId="13" r:id="rId13"/>
  </sheets>
  <definedNames>
    <definedName name="_xlnm.Print_Area" localSheetId="1">'1'!$A$1:$F$41</definedName>
    <definedName name="_xlnm.Print_Area" localSheetId="2">'2-инвестиции'!$A$1:$W$47</definedName>
    <definedName name="_xlnm.Print_Area" localSheetId="9">'9'!$A$1:$W$61</definedName>
    <definedName name="_xlnm.Print_Area" localSheetId="12">'ИЗ -внедрение'!$A$1:$Q$110</definedName>
    <definedName name="_xlnm.Print_Area" localSheetId="0">'Этапы финансирования'!$A$1:$W$39</definedName>
  </definedNames>
  <calcPr fullCalcOnLoad="1"/>
</workbook>
</file>

<file path=xl/sharedStrings.xml><?xml version="1.0" encoding="utf-8"?>
<sst xmlns="http://schemas.openxmlformats.org/spreadsheetml/2006/main" count="904" uniqueCount="493">
  <si>
    <t>Налог на прибыль</t>
  </si>
  <si>
    <t>1 год</t>
  </si>
  <si>
    <t>ИТОГО</t>
  </si>
  <si>
    <t>Накладные расходы</t>
  </si>
  <si>
    <t>№</t>
  </si>
  <si>
    <t>Наименование затрат</t>
  </si>
  <si>
    <t>Транспортные расходы</t>
  </si>
  <si>
    <t>Затраты связи</t>
  </si>
  <si>
    <t>Лабораторное оборудование</t>
  </si>
  <si>
    <t>ИТОГО:</t>
  </si>
  <si>
    <t>Расходы на расквартирование</t>
  </si>
  <si>
    <t>Трубопроводы и запорная арматура</t>
  </si>
  <si>
    <t>НДС</t>
  </si>
  <si>
    <t>Объём продаж-объём закупок.</t>
  </si>
  <si>
    <t xml:space="preserve">ПФР </t>
  </si>
  <si>
    <t>(пенсионный от ФОТ)</t>
  </si>
  <si>
    <t>Квартальные налоги до 2 млн.р. Болеее - помесячный</t>
  </si>
  <si>
    <t>ЕСН</t>
  </si>
  <si>
    <t>Единый соц.налог. От ФОТ в т.ч.</t>
  </si>
  <si>
    <t>Страхование от несчастных случаев на производстве</t>
  </si>
  <si>
    <t>от ФОТ</t>
  </si>
  <si>
    <t>Налог на имущество</t>
  </si>
  <si>
    <t>Остаточная среднегодовая стоимость имущества.</t>
  </si>
  <si>
    <t>Доход-НДС-расходы-ЗП-Налоги от ФОТ-налог на имущество -транспортные и др.</t>
  </si>
  <si>
    <t>Амортизация оборудования и Ноу-Хау?</t>
  </si>
  <si>
    <t>Налог на землю.</t>
  </si>
  <si>
    <t>каждый квартал оплачивается 1/4 часть</t>
  </si>
  <si>
    <t>К-во</t>
  </si>
  <si>
    <t>Оборудование управления и контроля</t>
  </si>
  <si>
    <t>Начисления на заработную плату</t>
  </si>
  <si>
    <t>Специальное оборудование для научно-конструкторских работ</t>
  </si>
  <si>
    <t>Накладные затраты</t>
  </si>
  <si>
    <t xml:space="preserve">Накладные и прочие расходы </t>
  </si>
  <si>
    <t>Обучение обслуживающего персонала</t>
  </si>
  <si>
    <t>ФСС (соц страх)</t>
  </si>
  <si>
    <t>ФОМС</t>
  </si>
  <si>
    <t>РОМС</t>
  </si>
  <si>
    <t>ФБ</t>
  </si>
  <si>
    <t>ИТОГО от ФОТ</t>
  </si>
  <si>
    <t>Производство</t>
  </si>
  <si>
    <t>Наука</t>
  </si>
  <si>
    <t>Инвестиционные затраты</t>
  </si>
  <si>
    <t>Аккумулированные инвестиционные затраты</t>
  </si>
  <si>
    <t xml:space="preserve">Начисления на ЗП,   </t>
  </si>
  <si>
    <t>2 год</t>
  </si>
  <si>
    <t>%</t>
  </si>
  <si>
    <t>3 год</t>
  </si>
  <si>
    <t>Цена, р</t>
  </si>
  <si>
    <t>Сумма, р</t>
  </si>
  <si>
    <t>Сумма,р</t>
  </si>
  <si>
    <t xml:space="preserve"> р/ мес.</t>
  </si>
  <si>
    <t>Сумма р/год.</t>
  </si>
  <si>
    <t>Цена,р</t>
  </si>
  <si>
    <t>Контрагентские затраты (лабораторные измерения, КД и т.п.)</t>
  </si>
  <si>
    <t>В т.ч. НДС:</t>
  </si>
  <si>
    <t xml:space="preserve">Насос центробежный </t>
  </si>
  <si>
    <t>Окислитель</t>
  </si>
  <si>
    <t>Электролизёр</t>
  </si>
  <si>
    <t>Гидроциклоны</t>
  </si>
  <si>
    <t>Фильтр</t>
  </si>
  <si>
    <t>Агрегат выпрямительный ТЕ1-400/24Т-2-04</t>
  </si>
  <si>
    <t>Входная емкость с тангенциальным входом.</t>
  </si>
  <si>
    <t>Оборудование электропитания</t>
  </si>
  <si>
    <t>Сетчатый фильтр</t>
  </si>
  <si>
    <t>Датчики температуры, давления, потока с установкой (ф. Бюркет)</t>
  </si>
  <si>
    <t>Каркас</t>
  </si>
  <si>
    <t>Лицензионный договор ЗАО "СБИ"</t>
  </si>
  <si>
    <t>Реконструкция Блок-контейнера</t>
  </si>
  <si>
    <t>Командировочные расходы (3 чел.х 15 сут/мес х300р/сут)</t>
  </si>
  <si>
    <t>Оргтехника, канцтовары</t>
  </si>
  <si>
    <t>Компрессор воздушный</t>
  </si>
  <si>
    <t>Сертификация</t>
  </si>
  <si>
    <t>Санитарно-гигиеническая экспертиза оборудования</t>
  </si>
  <si>
    <t>Санитарно-гигиеническая экспертиза товарного продукта</t>
  </si>
  <si>
    <t>Согласование НТД</t>
  </si>
  <si>
    <t>Монтаж оборудования в контейнер</t>
  </si>
  <si>
    <t>Доставка установки Заказчику</t>
  </si>
  <si>
    <t>Авторское руководство</t>
  </si>
  <si>
    <t>Разработка и написание нормативных и регламентирующих докум.</t>
  </si>
  <si>
    <t>Прочее оборудование (эжекторы, теплогенераторы, воздуховоды и пр.)</t>
  </si>
  <si>
    <t>Электроэнергия (6р/кВ*Час х 26,3 кВ*А = 157,8р х 12 час/сутки = 1893.6р</t>
  </si>
  <si>
    <t>х 30 суток = 56808р х 25% использования  =14202р</t>
  </si>
  <si>
    <t>стр.1</t>
  </si>
  <si>
    <t>стр.2</t>
  </si>
  <si>
    <t xml:space="preserve">Месяцы проекта (внедрение) </t>
  </si>
  <si>
    <t>Услуги сторонних организаций и специалистов</t>
  </si>
  <si>
    <t>Система отопления</t>
  </si>
  <si>
    <t>Система вентилляции</t>
  </si>
  <si>
    <t>Комплект противопожарных средств</t>
  </si>
  <si>
    <t xml:space="preserve">Блок-контейнер (утеплённый) </t>
  </si>
  <si>
    <t>Дверной блок</t>
  </si>
  <si>
    <t>Оконный блок</t>
  </si>
  <si>
    <t>Система электроснабжения</t>
  </si>
  <si>
    <t>Газовые смесители</t>
  </si>
  <si>
    <t>ВСЕГО инвестиционные затраты:</t>
  </si>
  <si>
    <t>Гомогенизатор  (S-эмульгатор)</t>
  </si>
  <si>
    <t>Насос фекальный (плунжерный)</t>
  </si>
  <si>
    <t>Дробилка</t>
  </si>
  <si>
    <t>Байпас</t>
  </si>
  <si>
    <t>Потребность в капитальных вложениях согласно проектно-сметной документации</t>
  </si>
  <si>
    <t>(в среднегодовых ценах года проведения конкурса)</t>
  </si>
  <si>
    <t>Таблица 1</t>
  </si>
  <si>
    <t>Наименование показателей</t>
  </si>
  <si>
    <t>Всего по проектно-сметной документации</t>
  </si>
  <si>
    <t>Выполнено</t>
  </si>
  <si>
    <t>на начало текущего года</t>
  </si>
  <si>
    <t>на момент подачи заявки на конкурс</t>
  </si>
  <si>
    <t>Подлежит выполнению до конца строительства</t>
  </si>
  <si>
    <t>Капитальные вложения по утвержденному проекту, всего</t>
  </si>
  <si>
    <t xml:space="preserve">в том числе: </t>
  </si>
  <si>
    <t>оборудование</t>
  </si>
  <si>
    <t>Статьи затрат</t>
  </si>
  <si>
    <t>Всего</t>
  </si>
  <si>
    <t>по кварталам</t>
  </si>
  <si>
    <t>I</t>
  </si>
  <si>
    <t>II</t>
  </si>
  <si>
    <t>III</t>
  </si>
  <si>
    <t>IV</t>
  </si>
  <si>
    <t>Таблица 3</t>
  </si>
  <si>
    <t>Наименование источников</t>
  </si>
  <si>
    <t>СОБСТВЕННЫЕ СРЕДСТВА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</si>
  <si>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Выручка от реализации акций (взнос в уставный капитал в денежной форме)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</si>
  <si>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Нераспределенная прибыль (фонд накопления) 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</si>
  <si>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Неиспользованная амортизация основных средств 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</si>
  <si>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Амортизация нематериальных активов 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</si>
  <si>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Результат от продажи основных средств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</si>
  <si>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Собственные средства, всего (сумма показателей пунктов 1-5)</t>
    </r>
  </si>
  <si>
    <t>ЗАЕМНЫЕ И ПРИВЛЕЧЕННЫЕ СРЕДСТВА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</si>
  <si>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Кредиты банков (по всем видам кредитов) 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</si>
  <si>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Заемные средства других организаций 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</si>
  <si>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Долевое участие в строительстве 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</si>
  <si>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Прочие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</si>
  <si>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Заемные и привлеченные средства, всего (сумма показателей пунктов 7-10)</t>
    </r>
  </si>
  <si>
    <t>12. Предполагаемая государственная поддержка проекта</t>
  </si>
  <si>
    <t>13. Итого (сумма показателей пунктов 6, 11, 12)</t>
  </si>
  <si>
    <t xml:space="preserve">Средства на начало реализации проекта
</t>
  </si>
  <si>
    <t>Показатели</t>
  </si>
  <si>
    <t>Единица измерения</t>
  </si>
  <si>
    <t>З год</t>
  </si>
  <si>
    <t>Объем реализации в натуральном выражении, всего</t>
  </si>
  <si>
    <t>на внутреннем рынке</t>
  </si>
  <si>
    <t>на внешнем рынке</t>
  </si>
  <si>
    <t xml:space="preserve">Цена реализации за единицу, продукции: </t>
  </si>
  <si>
    <t>акцизы</t>
  </si>
  <si>
    <t>пошлины</t>
  </si>
  <si>
    <t>Программа производства и реализации продукции</t>
  </si>
  <si>
    <t>Таблица 4</t>
  </si>
  <si>
    <t>Таблица 5</t>
  </si>
  <si>
    <t>Численность работающих, расходы на оплату труда и отчисления на социальные нужды</t>
  </si>
  <si>
    <t>в том числе:</t>
  </si>
  <si>
    <t>Расходы на оплату труда и отчисления на социальные нужды</t>
  </si>
  <si>
    <t>заработная плата</t>
  </si>
  <si>
    <t>отчисления на социальные нужды</t>
  </si>
  <si>
    <t>8. Расходы на оплату труда сотрудников службы сбыта продукции, всего</t>
  </si>
  <si>
    <t>отчисления на социальные</t>
  </si>
  <si>
    <t>9. Расходы на оплату труда, всего</t>
  </si>
  <si>
    <t>Таблица 6</t>
  </si>
  <si>
    <t>Затраты на производство и сбыт продукции (на годовой объем)</t>
  </si>
  <si>
    <t>всего</t>
  </si>
  <si>
    <t>1. Прямые (переменные) затраты, всего</t>
  </si>
  <si>
    <t>2. Постоянные (общие) затраты, всего</t>
  </si>
  <si>
    <t>общепроизводственные расходы, всего</t>
  </si>
  <si>
    <t>из них:</t>
  </si>
  <si>
    <t>затраты на материалы, инструмент, приспособления и др.</t>
  </si>
  <si>
    <t>затраты на оплату труда</t>
  </si>
  <si>
    <t>общехозяйственные расходы, всего</t>
  </si>
  <si>
    <t>затраты на материалы и др.</t>
  </si>
  <si>
    <t>расходы на сбыт продукции, всего</t>
  </si>
  <si>
    <t>3. Общие затраты на производство и сбыт продукции (услуг), всего</t>
  </si>
  <si>
    <t>4. НДС, акцизы, уплаченные из затрат на материалы, топливо, энергию и др.</t>
  </si>
  <si>
    <t>* Заполняется по основным видам продукции.</t>
  </si>
  <si>
    <t>Таблица 7</t>
  </si>
  <si>
    <t>Амортизационные отчисления</t>
  </si>
  <si>
    <t>Норма амортизации в соответствии с установленным порядком (в процентах)</t>
  </si>
  <si>
    <t>1. Основные фонды и нематериальные активы по проекту, всего</t>
  </si>
  <si>
    <t>а) по бизнес-плану, всего</t>
  </si>
  <si>
    <t>здания и сооружения</t>
  </si>
  <si>
    <t>нематериальные активы</t>
  </si>
  <si>
    <t>б) ранее понесенные затраты на создание фондов, всего</t>
  </si>
  <si>
    <t>г) остаточная стоимость, основных фондов и нематериальных активов по проекту</t>
  </si>
  <si>
    <r>
      <t xml:space="preserve">2. Ранее созданные основные фонды и нематериальные активы, относимые на себестоимость продукции по бизнес-плану </t>
    </r>
    <r>
      <rPr>
        <sz val="12"/>
        <rFont val="Times New Roman"/>
        <family val="1"/>
      </rPr>
      <t>(общепроизводственные, общехозяйственные и сбытовые)</t>
    </r>
  </si>
  <si>
    <t>а) всего</t>
  </si>
  <si>
    <t>б) начисленная амортизация</t>
  </si>
  <si>
    <t>в) остаточная стоимость основных фондов</t>
  </si>
  <si>
    <t>3. Начисленная амортизация, всего (сумма показателей пунктов 1 "в" и 2 "б")</t>
  </si>
  <si>
    <t>4. Всего остаточная стоимость основных средств и нематериальных активов, всего (сумма показателей пунктов 1 "г" и 2 "в")</t>
  </si>
  <si>
    <t>Таблица 8</t>
  </si>
  <si>
    <t>Финансовые результаты производственной и сбытовой деятельности (на годовой объем)</t>
  </si>
  <si>
    <t>1. Общая выручка от реализации продукции (таблица 4, пункт 2)</t>
  </si>
  <si>
    <t>2. НДС, акцизы и аналогичные обязательные платежи от реализации выпускаемой продукции (таблица 4, пункт 2)</t>
  </si>
  <si>
    <t>3. Уплачиваемые экспортные пошлины</t>
  </si>
  <si>
    <t>4. Выручка от реализации продукции за минусом НДС, акцизов и аналогичных обязательных платежей (разность между показателями пункта 1 и пунктов 2,3)</t>
  </si>
  <si>
    <t>5. Общие затраты на производство и сбыт продукции (услуг) (таблица 6, пункт 3)</t>
  </si>
  <si>
    <t>в том числе</t>
  </si>
  <si>
    <t>6. Амортизационные отчисления (таблица 7, пункт 3)</t>
  </si>
  <si>
    <t>7. Налоги, включаемые в себестоимость, всего</t>
  </si>
  <si>
    <t>(указать каждый в отдельности)</t>
  </si>
  <si>
    <t>9. Налоги, относимые на финансовый результат (прибыль), всего</t>
  </si>
  <si>
    <t>налог на имущество</t>
  </si>
  <si>
    <t>другие налоги (указать каждый в отдельности)</t>
  </si>
  <si>
    <t>10. Погашение основного долга и выплата процентов за кредит</t>
  </si>
  <si>
    <t>11. Налогооблагаемая прибыль</t>
  </si>
  <si>
    <t>(разность показателей пункта 8 и пунктов 9 и 10)</t>
  </si>
  <si>
    <t>12. Налог на прибыль</t>
  </si>
  <si>
    <t>13. Чистая прибыль</t>
  </si>
  <si>
    <t>(разность показателей пункта 8 и пунктов 9 и 12)</t>
  </si>
  <si>
    <t>14. Платежи в бюджет (сумма показателей пунктов 2, 3, 7, 9, 12 за вычетом показателя пункта 5 "а")</t>
  </si>
  <si>
    <t>Таблица 9</t>
  </si>
  <si>
    <t>План денежных поступлений и выплат</t>
  </si>
  <si>
    <t>ДЕЯТЕЛЬНОСТЬ ПО ПРОИЗВОДСТВУ И СБЫТУ ПРОДУКЦИИ (УСЛУГ)</t>
  </si>
  <si>
    <t>1. Денежные поступления, всего (сумма показателей пунктов 1 "а" и 1 "б")</t>
  </si>
  <si>
    <t>а) поступления от продажи продукции (услуг) (таблица 8, пункт 1)</t>
  </si>
  <si>
    <t>б) прочие доходы от производственной деятельности</t>
  </si>
  <si>
    <t>2. Денежные выплаты, всего (сумма показателей пунктов 2 "а" и 2 "б")</t>
  </si>
  <si>
    <t>а) затраты по производству и сбыту продукции (услуг) (таблица 8, пункт 5)</t>
  </si>
  <si>
    <t>б) платежи в бюджет (таблица 8, пункт 14)</t>
  </si>
  <si>
    <t>3. Сальдо потока от деятельности по производству и сбыту продукции</t>
  </si>
  <si>
    <t>(разность показателей пунктов 1 и 2)</t>
  </si>
  <si>
    <t>ИНВЕСТИЦИОННАЯ ДЕЯТЕЛЬНОСТЬ</t>
  </si>
  <si>
    <t>4. Поступление средств, всего (сумма показателей пунктов 4 "а", 4 "б" и 4 "в")</t>
  </si>
  <si>
    <t>б) продажа имущества</t>
  </si>
  <si>
    <t>в) продажа финансовых активов (паи, ценные бумаги других эмитентов)</t>
  </si>
  <si>
    <t>6. Сальдо потока от инвестиционной деятельности (разность показателей пунктов 4 и 5)</t>
  </si>
  <si>
    <t>7. Сальдо потока по производственной и инвестиционной деятельности (сумма показателей пунктов 3 и 6)</t>
  </si>
  <si>
    <t>Сальдо потока нарастающим итогом</t>
  </si>
  <si>
    <t>8. Поступление средств, всего (сумма показателей пунктов 8"а", 8"б" ꬸ_x000E_8"в")</t>
  </si>
  <si>
    <t>а) поступления от продажи своих акций</t>
  </si>
  <si>
    <t>из них продажа государству</t>
  </si>
  <si>
    <t>б) кредиты</t>
  </si>
  <si>
    <t>в том числе государственная поддержка</t>
  </si>
  <si>
    <t>в) займы</t>
  </si>
  <si>
    <t>9. Выплата средств, всего (сумма показателей пунктов 9 "а", 9 "б" и 9 "в")</t>
  </si>
  <si>
    <t>а) уплата процентов за предоставленные средства (кроме процентов по краткосрочным кредитам)</t>
  </si>
  <si>
    <t>по средствам государственной поддержки за счет федерального бюджета</t>
  </si>
  <si>
    <t>по другим заемным средствам (по каждому кредиту в отдельности)</t>
  </si>
  <si>
    <t>б) погашение основного долга, всего</t>
  </si>
  <si>
    <t>по кредитам коммерческих банков (по каждому в отдельности)</t>
  </si>
  <si>
    <t>в) выплата дивидендов</t>
  </si>
  <si>
    <t>10. Сальдо потока по финансовой деятельности (разность показателей пунктов 8 и 9)</t>
  </si>
  <si>
    <t>11. Общее сальдо потока (сумма показателей пунктов 7 и 10)</t>
  </si>
  <si>
    <t xml:space="preserve">Таблица 10 </t>
  </si>
  <si>
    <t>Бюджетный эффект от реализации проекта</t>
  </si>
  <si>
    <t>Наименование статьи</t>
  </si>
  <si>
    <t>1. Выплаты</t>
  </si>
  <si>
    <t>а) предполагаемая государственная поддержка проекта (таблица 3, пункт 12)</t>
  </si>
  <si>
    <t>б) НДС (комплектующие изделия, запасные части, оборудование, строительные работы, материалы, топливо, электроэнергия)</t>
  </si>
  <si>
    <t>2. Поступление средств, итого (сумма показателей пунктов 2 "а", 2 "б", 2 "в", 2 "г", 2 "д", 2 "е", 2 "ж")</t>
  </si>
  <si>
    <t>а) налоги и платежи в бюджет (таблица 9, пункт 2 "б")</t>
  </si>
  <si>
    <t>б) единовременные затраты при оформлении земельного участка*</t>
  </si>
  <si>
    <t>в) подоходный налог на заработную плату 0,12 х затраты на оплату труда (таблица 6, пункт 3)</t>
  </si>
  <si>
    <t>г) отчисления на социальные нужды (пенсионный фонд, фонд социального страхования, фонд занятости, обязательное медицинское страхование) (таблица 6, пункт 3 - отчисления на социальные нужды)</t>
  </si>
  <si>
    <t>д) выручка от продажи государственного пакета акций</t>
  </si>
  <si>
    <t>е) возврат процентов по государственному кредиту (таблица 9. пункт 9 "а")</t>
  </si>
  <si>
    <t>ж) возврат основного долга государству (таблица 9, пункт'9 "б")</t>
  </si>
  <si>
    <t>3. Сальдо потока (разность показателей пунктов 2 и 1)</t>
  </si>
  <si>
    <t>4. То же нарастающим итогом</t>
  </si>
  <si>
    <t>6. Дисконтированная величина, сальдо потока (частное от деления показателей пунктов 3 и 5)</t>
  </si>
  <si>
    <t>7. Чистый дисконтированный доход государства нарастающим итогом</t>
  </si>
  <si>
    <t>8. Чистый дисконтированный доход государства с учетом рисков нарастающим итогом</t>
  </si>
  <si>
    <t>* Подтверждается первичным документом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</si>
  <si>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Установки МУРОС_________________</t>
    </r>
  </si>
  <si>
    <t>Объем производства: в натуральном выражении</t>
  </si>
  <si>
    <t>Объем производства в стоимостном выражении</t>
  </si>
  <si>
    <t>шт</t>
  </si>
  <si>
    <t>млн.руб</t>
  </si>
  <si>
    <t>чел</t>
  </si>
  <si>
    <r>
      <t xml:space="preserve">МУРОС     </t>
    </r>
    <r>
      <rPr>
        <sz val="12"/>
        <rFont val="Times New Roman"/>
        <family val="1"/>
      </rPr>
      <t>(вид продукции*)  шт</t>
    </r>
  </si>
  <si>
    <t>нематериальные активы (НИОКР, КД, полезная модель)</t>
  </si>
  <si>
    <t>8. Финансовый результат (прибыль) (разность между показателями пункта 4 и пунктов 5, 6 и 7)</t>
  </si>
  <si>
    <t>а) НДС, акцизы и аналогичные обязательные платежи, уплачиваемые из затрат на материалы, топливо, энергию  (таблица 6, пункт 4)</t>
  </si>
  <si>
    <t>Производственная себестоимость единицы продукции</t>
  </si>
  <si>
    <t>Полная себестоимость производства и реализации</t>
  </si>
  <si>
    <t>Переменные затраты в полной себестоимости единицы пр.</t>
  </si>
  <si>
    <t>Постоянные затраты в полной себестоимости единицы пр.</t>
  </si>
  <si>
    <t>Рентабельность реализации (продаж)          п.13 : п.1</t>
  </si>
  <si>
    <t>Рентабельность текущих затрат          п.8 : п.5</t>
  </si>
  <si>
    <t>Рентабельность инвестированного капитала   п.13 : т.2, п.5</t>
  </si>
  <si>
    <t>Валовая маржа ( т.8 п1 - т.6 п1)</t>
  </si>
  <si>
    <t>Цена реализации единицы продукции</t>
  </si>
  <si>
    <t>собственные средства: НМА</t>
  </si>
  <si>
    <t xml:space="preserve">заемные средства - частные отечественные инвестиции  </t>
  </si>
  <si>
    <r>
      <t>Финансирование проекта</t>
    </r>
    <r>
      <rPr>
        <sz val="12"/>
        <rFont val="Times New Roman"/>
        <family val="1"/>
      </rPr>
      <t>:</t>
    </r>
  </si>
  <si>
    <t>ФИНАНСОВАЯ  ДЕЯТЕЛЬНОСТЬ</t>
  </si>
  <si>
    <t>5. Коэффициент дисконтирования (пункт 8  бизнес-плана)</t>
  </si>
  <si>
    <t>V</t>
  </si>
  <si>
    <t>VI</t>
  </si>
  <si>
    <t>VII</t>
  </si>
  <si>
    <t>VIII</t>
  </si>
  <si>
    <t>IX</t>
  </si>
  <si>
    <t>X</t>
  </si>
  <si>
    <t>XI</t>
  </si>
  <si>
    <t>XII</t>
  </si>
  <si>
    <t>по месяцам</t>
  </si>
  <si>
    <t>Коэффициент обслуживания долга  п.8:т.9 (п.9а+ п.9б).</t>
  </si>
  <si>
    <t>*единоразовая выплата за предоставл.кр.</t>
  </si>
  <si>
    <r>
      <t xml:space="preserve">Источники средств </t>
    </r>
    <r>
      <rPr>
        <sz val="14"/>
        <rFont val="Times New Roman"/>
        <family val="1"/>
      </rPr>
      <t>(на начало реализации проекта)</t>
    </r>
  </si>
  <si>
    <t>Установки восстребованы за рубежом. В бизнесплане сделаны расчеты для обеспечения установками, в первую очередь, потребителей внутреннего рынка.</t>
  </si>
  <si>
    <t>сумма по месяцам</t>
  </si>
  <si>
    <t>Точка безубыточности</t>
  </si>
  <si>
    <t>Срок внедрения первой установки принят в расчётах- 7 месяцев. Фактически ожидаемый срок внедрения установки -5 месяцев.</t>
  </si>
  <si>
    <t>Сварщик</t>
  </si>
  <si>
    <t>Карщик-погрузчик</t>
  </si>
  <si>
    <t>Слесарь</t>
  </si>
  <si>
    <t>Монтажник</t>
  </si>
  <si>
    <t>Электрик</t>
  </si>
  <si>
    <t>Сборщик-наладчик</t>
  </si>
  <si>
    <t>Лаборант</t>
  </si>
  <si>
    <t>Механик</t>
  </si>
  <si>
    <t>Энергетик</t>
  </si>
  <si>
    <t>Гланый механик</t>
  </si>
  <si>
    <t>Директор</t>
  </si>
  <si>
    <t>Юрист</t>
  </si>
  <si>
    <t>Главный бухгалтер</t>
  </si>
  <si>
    <t>Менеджер по сбыту и поставкам</t>
  </si>
  <si>
    <t>Секретарь</t>
  </si>
  <si>
    <t>Сторож</t>
  </si>
  <si>
    <t>Премии</t>
  </si>
  <si>
    <t>4 год</t>
  </si>
  <si>
    <t>5 год</t>
  </si>
  <si>
    <r>
      <t xml:space="preserve">Всего </t>
    </r>
    <r>
      <rPr>
        <sz val="12"/>
        <rFont val="Times New Roman"/>
        <family val="1"/>
      </rPr>
      <t>чел/мес</t>
    </r>
  </si>
  <si>
    <t>чел/мес</t>
  </si>
  <si>
    <t>точка безубыточности</t>
  </si>
  <si>
    <t>строительно-монтажные работы, том числе:</t>
  </si>
  <si>
    <t>реконструкция сборочного цеха</t>
  </si>
  <si>
    <t>ремонт офиса</t>
  </si>
  <si>
    <t>химико-биологическая лаборатория</t>
  </si>
  <si>
    <t xml:space="preserve">компьютерное и инженерное оборудование </t>
  </si>
  <si>
    <t>Прочие затраты, в том числе:</t>
  </si>
  <si>
    <t>оборудование, в том числе:</t>
  </si>
  <si>
    <t>Затраты на сырье, материалы, комплектующие, полуфабрикаты и др.</t>
  </si>
  <si>
    <t>Затраты на оплату труда производственных рабочих</t>
  </si>
  <si>
    <t>Отчисления на социальные нужды</t>
  </si>
  <si>
    <t xml:space="preserve">в) начисленная амортизация </t>
  </si>
  <si>
    <t>Начисленная суммарная амортизация по проекту</t>
  </si>
  <si>
    <t>Инвестированный капитал</t>
  </si>
  <si>
    <t>ВСЕГО</t>
  </si>
  <si>
    <t>Накопленная амортизация</t>
  </si>
  <si>
    <t>Накопленная амортизация нарастающим итогом</t>
  </si>
  <si>
    <t>Остаточная стоимость основных средств</t>
  </si>
  <si>
    <t>Чистый дисконтированный доход</t>
  </si>
  <si>
    <t>* Учтена инфляция - 9% годовых</t>
  </si>
  <si>
    <t>Норма дисконта</t>
  </si>
  <si>
    <t>Годовой оборот, млн. руб.</t>
  </si>
  <si>
    <t>Чистая прибыль, млн. руб.</t>
  </si>
  <si>
    <t>Годовой оборот, тыс USD</t>
  </si>
  <si>
    <t>Чистая прибыль, тыс USD</t>
  </si>
  <si>
    <t xml:space="preserve">Среднемесячная </t>
  </si>
  <si>
    <t>за весь проект</t>
  </si>
  <si>
    <t>Среднегодовая</t>
  </si>
  <si>
    <t>Затраты на аренду, топливо и энергию на технологические цели</t>
  </si>
  <si>
    <t>затраты на аренду, топливо, энергию</t>
  </si>
  <si>
    <t>Последующие затраты на инвестиционную деятельность финансируются из прибыли предприятия</t>
  </si>
  <si>
    <r>
      <t>*</t>
    </r>
    <r>
      <rPr>
        <sz val="12"/>
        <rFont val="Times New Roman"/>
        <family val="1"/>
      </rPr>
      <t xml:space="preserve"> Минимальные начальные инвестиционные затраты</t>
    </r>
  </si>
  <si>
    <t>ИНВЕСТИЦИОННЫЕ ЗАТРАТЫ НА ВНЕДРЕНИЕ МУРОС ПО РЕУТИЛИЗАЦИИ ПОСЛЕСПИРТОВОЙ БАРДЫ И ОЧИСТКИ СТОКОВ.</t>
  </si>
  <si>
    <t>а) денежные средства инвестированные в производство (таблица 2, пункт 5)</t>
  </si>
  <si>
    <t xml:space="preserve">5. Выплаты, всего </t>
  </si>
  <si>
    <t>инвестиц. из прибыли</t>
  </si>
  <si>
    <t>млн. руб</t>
  </si>
  <si>
    <t>патен российский*</t>
  </si>
  <si>
    <t>международный патент*</t>
  </si>
  <si>
    <t>автокар-подьёмник**</t>
  </si>
  <si>
    <t>*   Возможность финансировапния за счёт программ правительства Москвы</t>
  </si>
  <si>
    <t>** Возмохность приобретения в лизинг или кредит</t>
  </si>
  <si>
    <t>Цена, тыс.$</t>
  </si>
  <si>
    <t>Сумма, $</t>
  </si>
  <si>
    <t>месяцы проекта</t>
  </si>
  <si>
    <t>* затраты по месяцам</t>
  </si>
  <si>
    <t>тыс.$</t>
  </si>
  <si>
    <t>тыс. $</t>
  </si>
  <si>
    <t>НИОКР по привязке оборудования МУРОС к существующим стокам</t>
  </si>
  <si>
    <t>Приобретение комплектующих</t>
  </si>
  <si>
    <t>НИОКР по привязке МУРОС к стокам</t>
  </si>
  <si>
    <t>Пуско-наладочные работы и затраты</t>
  </si>
  <si>
    <t>Строительство и монтаж оборудования</t>
  </si>
  <si>
    <t>Капитальные вложения в недвижимость</t>
  </si>
  <si>
    <t>3.1.</t>
  </si>
  <si>
    <t>3.2.</t>
  </si>
  <si>
    <t>Общие производственные затраты</t>
  </si>
  <si>
    <r>
      <t xml:space="preserve">Приобретение оборотных средств, </t>
    </r>
    <r>
      <rPr>
        <sz val="12"/>
        <rFont val="Times New Roman"/>
        <family val="1"/>
      </rPr>
      <t>в том числе:</t>
    </r>
  </si>
  <si>
    <r>
      <t xml:space="preserve">* </t>
    </r>
    <r>
      <rPr>
        <sz val="12"/>
        <color indexed="60"/>
        <rFont val="Times New Roman"/>
        <family val="1"/>
      </rPr>
      <t>Потребность в дополнительных инвестициях в важные этапы проекта, которые можно финансировать из прибыли от продаж установок</t>
    </r>
  </si>
  <si>
    <t>тыс $</t>
  </si>
  <si>
    <t xml:space="preserve">на внутреннем рынке  </t>
  </si>
  <si>
    <t>Выручка от реализации продукции на внутреннем рынке</t>
  </si>
  <si>
    <t>Выручка от реализации продукции на внешнем рынке</t>
  </si>
  <si>
    <t xml:space="preserve">2. Общая выручка от реализации продукции, в том числе: </t>
  </si>
  <si>
    <t>за проект</t>
  </si>
  <si>
    <r>
      <t xml:space="preserve">Инвестиции </t>
    </r>
    <r>
      <rPr>
        <sz val="12"/>
        <rFont val="Times New Roman"/>
        <family val="1"/>
      </rPr>
      <t>(в период внедрения и эксплуатации)</t>
    </r>
  </si>
  <si>
    <t>Точка безуточности  п.2:(цена един.-перем.затр.един)</t>
  </si>
  <si>
    <t>Аренда погрузчика и пр. тех средств</t>
  </si>
  <si>
    <r>
      <t xml:space="preserve">Итого - объем инвестиций (сумма показателей пунктов 1-4) </t>
    </r>
    <r>
      <rPr>
        <b/>
        <sz val="18"/>
        <rFont val="Times New Roman"/>
        <family val="1"/>
      </rPr>
      <t>*</t>
    </r>
  </si>
  <si>
    <t>Приобретение прав собственности НМА у партнёров ЗАО "СБИ" на технологии</t>
  </si>
  <si>
    <t>4.1.</t>
  </si>
  <si>
    <t>4.2.</t>
  </si>
  <si>
    <t>Подготовка документации</t>
  </si>
  <si>
    <t>Подача заявки на патент</t>
  </si>
  <si>
    <t>а</t>
  </si>
  <si>
    <t>б</t>
  </si>
  <si>
    <t>в</t>
  </si>
  <si>
    <t>г</t>
  </si>
  <si>
    <t>Патентование способа</t>
  </si>
  <si>
    <t>Регистрация предприятия</t>
  </si>
  <si>
    <t>затраты на оплату труда, в том числе:</t>
  </si>
  <si>
    <r>
      <t xml:space="preserve">Патентование НМА международное, </t>
    </r>
    <r>
      <rPr>
        <sz val="12"/>
        <rFont val="Times New Roman"/>
        <family val="1"/>
      </rPr>
      <t>вт.ч.</t>
    </r>
  </si>
  <si>
    <r>
      <t xml:space="preserve">Патентование НМА российское, </t>
    </r>
    <r>
      <rPr>
        <sz val="12"/>
        <rFont val="Times New Roman"/>
        <family val="1"/>
      </rPr>
      <t>в т.ч.</t>
    </r>
  </si>
  <si>
    <t>Подготовка документации и пр. расходы</t>
  </si>
  <si>
    <r>
      <t xml:space="preserve">4. </t>
    </r>
    <r>
      <rPr>
        <b/>
        <sz val="11"/>
        <rFont val="Times New Roman"/>
        <family val="1"/>
      </rPr>
      <t xml:space="preserve">Другие инвестиции </t>
    </r>
    <r>
      <rPr>
        <b/>
        <sz val="14"/>
        <color indexed="60"/>
        <rFont val="Times New Roman"/>
        <family val="1"/>
      </rPr>
      <t>*</t>
    </r>
  </si>
  <si>
    <r>
      <t xml:space="preserve">* </t>
    </r>
    <r>
      <rPr>
        <sz val="11"/>
        <color indexed="60"/>
        <rFont val="Times New Roman"/>
        <family val="1"/>
      </rPr>
      <t xml:space="preserve">На патентование РФ и международное Московское правительство может выделить субсидии в указанных суммах, через 0,5 года после регистрации предприятия. </t>
    </r>
  </si>
  <si>
    <r>
      <t xml:space="preserve">Приобретение узлов пилотной установки и НИОКР </t>
    </r>
    <r>
      <rPr>
        <b/>
        <sz val="10"/>
        <rFont val="Times New Roman"/>
        <family val="1"/>
      </rPr>
      <t>(временный творческий коллектив</t>
    </r>
    <r>
      <rPr>
        <b/>
        <sz val="11"/>
        <rFont val="Times New Roman"/>
        <family val="1"/>
      </rPr>
      <t>) см. "Внедрение"</t>
    </r>
  </si>
  <si>
    <t>5. Расходы на оплату труда производственного персонала, непосредственно занятых производством продукции, всего</t>
  </si>
  <si>
    <t>ЗП производственного персонала</t>
  </si>
  <si>
    <t>ЗП управленческого персонала</t>
  </si>
  <si>
    <t>6. Расходы на оплату персонала, не занятых непосредственно производством продукции, всего</t>
  </si>
  <si>
    <t>2. Персонал, не занятый непосредственно производством продукции</t>
  </si>
  <si>
    <t>1. Персонал, непосредственно занятый производством установок</t>
  </si>
  <si>
    <t xml:space="preserve">3. Сотрудники аппарата управления: </t>
  </si>
  <si>
    <t>4. Сотрудники, занятые сбытом продукции</t>
  </si>
  <si>
    <t>Главный инженер (Руководитель проекта)</t>
  </si>
  <si>
    <t>Директор по развитию и дистрибъюции</t>
  </si>
  <si>
    <t>заработная плата (ср=2,75 т.$)</t>
  </si>
  <si>
    <t xml:space="preserve">Уборщик        </t>
  </si>
  <si>
    <t>заработная плата (ср=0,7 т.$)</t>
  </si>
  <si>
    <t>заработная плата (ср=1,2 т.$)</t>
  </si>
  <si>
    <t>заработная плата (ср=1,7 т.$)</t>
  </si>
  <si>
    <t>Инженер-конструктор</t>
  </si>
  <si>
    <t>7. Расходы на оплату труда сотрудников аппарата управления, всего</t>
  </si>
  <si>
    <r>
      <t>Численность работающих по проекту, всего</t>
    </r>
    <r>
      <rPr>
        <sz val="14"/>
        <rFont val="Times New Roman"/>
        <family val="1"/>
      </rPr>
      <t xml:space="preserve"> чел/месяц</t>
    </r>
  </si>
  <si>
    <t xml:space="preserve">ЗП не занятых непосредственно производством </t>
  </si>
  <si>
    <t>ЗП сотрудников службы сбыта</t>
  </si>
  <si>
    <t>Планирование производства и сбыта</t>
  </si>
  <si>
    <t>НИОКР</t>
  </si>
  <si>
    <t>Пуско-наладочные работы</t>
  </si>
  <si>
    <t>Охрана помещений и оборудования</t>
  </si>
  <si>
    <t>Написание нормативно-регламентирующей документации</t>
  </si>
  <si>
    <t>Подготовка заявки на патент, патентование</t>
  </si>
  <si>
    <t>Запуск установки</t>
  </si>
  <si>
    <t>Сертификация удобрений</t>
  </si>
  <si>
    <t>Продажа пробных партий удобрений</t>
  </si>
  <si>
    <t>Продажа сертифицированных удобрений</t>
  </si>
  <si>
    <t>Производство и внедрение серийных установок</t>
  </si>
  <si>
    <t>Разработки и продажа ассортимента удобрений</t>
  </si>
  <si>
    <t>Разраб. и написание нормативных и регламент. Докум.</t>
  </si>
  <si>
    <t>Этапы проекта</t>
  </si>
  <si>
    <t>Персонал предприятия</t>
  </si>
  <si>
    <t>Производство и внедрение ассортимента удобрений</t>
  </si>
  <si>
    <t>Выпуск удобрений на пилотной установке</t>
  </si>
  <si>
    <t>Изготовление и продажа удобрений на пилотной установке</t>
  </si>
  <si>
    <t>Изготовление установки</t>
  </si>
  <si>
    <t>НИОКР по производству установки</t>
  </si>
  <si>
    <t>НИОКР по производству удобрений</t>
  </si>
  <si>
    <t>Авиабилеты    Москва-Киев-Москва  ( 5,133 р в одну сторону)</t>
  </si>
  <si>
    <t>Транспортные расходы аэропорт -город</t>
  </si>
  <si>
    <t>Интернет</t>
  </si>
  <si>
    <t>Приобретение и копирование нормативной и технической документации</t>
  </si>
  <si>
    <t>Аренда помещений  100 кв. м.</t>
  </si>
  <si>
    <t>Автотранспорт</t>
  </si>
  <si>
    <t>Заработная плата,  (2 человек по 700$. в месяц в среднем)</t>
  </si>
  <si>
    <r>
      <t xml:space="preserve">Пуско-наладочные работы и затраты </t>
    </r>
    <r>
      <rPr>
        <sz val="12"/>
        <rFont val="Times New Roman"/>
        <family val="1"/>
      </rPr>
      <t xml:space="preserve">(прочие затраты и зарплата научному персоналу по составу работ </t>
    </r>
  </si>
  <si>
    <t>Консультации специалистов</t>
  </si>
  <si>
    <t>Электрохимик -экспериментатор-модельщик</t>
  </si>
  <si>
    <t>Инженер-гидравлик (и техник)</t>
  </si>
  <si>
    <t>Заработная плата прочего научного персонала</t>
  </si>
  <si>
    <t>Инженер-электронщик (автоматика контроля и управления)</t>
  </si>
  <si>
    <t>Услуги аналитических лабораторий</t>
  </si>
  <si>
    <t>Услуги специалистов Госстандарта и торговой палаты (создание тех.усл.)</t>
  </si>
  <si>
    <t>Себестоимость 1 шт по чистому сырью без НИОКР</t>
  </si>
  <si>
    <t>(тыс. $)</t>
  </si>
  <si>
    <t xml:space="preserve">средства государственной поддержки  - гранты, субсидии - 500 000- 1 500 000 рублей </t>
  </si>
  <si>
    <t>Кредит нарастающим итогом</t>
  </si>
  <si>
    <t>по кредитам коммерческих банков -20% годовых</t>
  </si>
  <si>
    <t>Экономичный сценарий</t>
  </si>
  <si>
    <t>Субсидии для оплаты затрат малого инновационного предприятия на участие в специализированных мероприятиях по продвижению продукции</t>
  </si>
  <si>
    <t>Размер субсидии:</t>
  </si>
  <si>
    <t>До 250 000,00 – субсидия для оплаты затрат на участие в специализированных мероприятиях по продвижению продукции (выставках, ярмарках, конференциях).</t>
  </si>
  <si>
    <t>Субсидии для оплаты затрат на выполнение инновационных проектов субъектов малого предпринимательства, создающих и реализующих инновационную продукцию в научно-технической сфере</t>
  </si>
  <si>
    <r>
      <t>Размер субсидии:</t>
    </r>
    <r>
      <rPr>
        <sz val="12"/>
        <rFont val="Times New Roman"/>
        <family val="1"/>
      </rPr>
      <t xml:space="preserve"> 
До 250 000,00 – субсидия с привлечением внебюджетных средств (включая собственные) в размере не менее половины от запрашиваемой суммы;
До 500 000,00 – субсидия с привлечением внебюджетных средств (включая собственные) в размере, не менее чем в 2 раза превышающем размер бюджетного финансирования. </t>
    </r>
  </si>
  <si>
    <r>
      <t>Субсидия для оплаты затрат на патентно-лицензионную работу, брендинг и защиту интеллектуальной собственности</t>
    </r>
    <r>
      <rPr>
        <sz val="12"/>
        <rFont val="Times New Roman"/>
        <family val="1"/>
      </rPr>
      <t xml:space="preserve">:                                                         </t>
    </r>
  </si>
  <si>
    <r>
      <t>Размер субсидии предприятию:</t>
    </r>
    <r>
      <rPr>
        <sz val="12"/>
        <rFont val="Times New Roman"/>
        <family val="1"/>
      </rPr>
      <t xml:space="preserve"> 
До 500 000,00 рублей – субсидия для оплаты затрат на патентно-лицензионные работы в Российской Федерации;
До 1 000 000,00 рублей  – субсидия для оплаты затрат на патентно-лицензионные работы за рубежом. </t>
    </r>
  </si>
  <si>
    <r>
      <t>Возможная господдержка</t>
    </r>
    <r>
      <rPr>
        <sz val="12"/>
        <rFont val="Times New Roman"/>
        <family val="1"/>
      </rPr>
      <t>: http://innovbusiness.ru/content/document_r_61F2CA8E-919F-4A93-9EE6-C4C855C698DE.html</t>
    </r>
  </si>
  <si>
    <t>Меры по обеспечению окупаемости проекта:</t>
  </si>
  <si>
    <t>(тыс.$)</t>
  </si>
  <si>
    <t>Приобретение узлов установки, НИОКР (работа ВТК)</t>
  </si>
  <si>
    <t>ИТОГО - объем минимальных инвестиций (сумма показателей на 1 установку)</t>
  </si>
  <si>
    <r>
      <t>ИТОГО - объем минимальных инвестиций (сумма показателей на 1 установку)</t>
    </r>
    <r>
      <rPr>
        <b/>
        <sz val="14"/>
        <rFont val="Times New Roman"/>
        <family val="1"/>
      </rPr>
      <t>*</t>
    </r>
  </si>
  <si>
    <t>Запас финансовой прочности (объём реализ - точка безубыт)</t>
  </si>
  <si>
    <t>2. Некоторые затраты перенесены на затраты будущих периодов.</t>
  </si>
  <si>
    <t>1. Цена установок повышена с 10 до 12 млн.рублей. Цены на установки могут быть повышены до 20 млн рублей.</t>
  </si>
  <si>
    <t>Р.S. Имеются другие государственные субсидии и формы господдержки инновационных проектов.</t>
  </si>
  <si>
    <t>Таблица 2 (продолжение)</t>
  </si>
  <si>
    <t xml:space="preserve">Таблица 2 </t>
  </si>
  <si>
    <t>тыс, $</t>
  </si>
  <si>
    <t xml:space="preserve">Минимальная цена реализации установок </t>
  </si>
  <si>
    <t>* может быть повышена до 20-25 млн руб</t>
  </si>
  <si>
    <t>*Затраты на сырье, материалы, комплектующие, полуфабрикаты и др. 1-й установки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</si>
</sst>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0.0%"/>
    <numFmt numFmtId="177" formatCode="#,##0.000_р_."/>
    <numFmt numFmtId="178" formatCode="0.0"/>
    <numFmt numFmtId="179" formatCode="#,##0.00&quot;р.&quot;"/>
    <numFmt numFmtId="180" formatCode="[$€-2]\ ###,000_);[Red]\([$€-2]\ ###,000\)"/>
    <numFmt numFmtId="181" formatCode="#,##0.0_р_."/>
    <numFmt numFmtId="182" formatCode="#,##0_р_."/>
    <numFmt numFmtId="183" formatCode="yyyy"/>
    <numFmt numFmtId="184" formatCode="#,##0.0"/>
    <numFmt numFmtId="185" formatCode="0.00000000"/>
    <numFmt numFmtId="186" formatCode="0.000000000"/>
    <numFmt numFmtId="187" formatCode="0.0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%"/>
    <numFmt numFmtId="194" formatCode="[$-FC19]d\ mmmm\ yyyy\ &quot;г.&quot;"/>
    <numFmt numFmtId="195" formatCode="#,##0.000"/>
    <numFmt numFmtId="196" formatCode="#,##0.0_ ;\-#,##0.0\ "/>
    <numFmt numFmtId="197" formatCode="#,##0.00_р_.;[Red]#,##0.00_р_."/>
    <numFmt numFmtId="198" formatCode="[$-419]mmmm\ yyyy;@"/>
    <numFmt numFmtId="199" formatCode="_-[$$-409]* #,##0.0_ ;_-[$$-409]* \-#,##0.0\ ;_-[$$-409]* &quot;-&quot;?_ ;_-@_ "/>
    <numFmt numFmtId="200" formatCode="[$$-409]#,##0.0;[Red][$$-409]#,##0.0"/>
    <numFmt numFmtId="201" formatCode="#,##0.0;[Red]#,##0.0"/>
    <numFmt numFmtId="202" formatCode="#,##0.0&quot;р.&quot;"/>
    <numFmt numFmtId="203" formatCode="[$$-409]#,##0.0"/>
    <numFmt numFmtId="204" formatCode="mmm/yyyy"/>
    <numFmt numFmtId="205" formatCode="[$-419]mmmm;@"/>
    <numFmt numFmtId="206" formatCode="_-* #,##0.000_р_._-;\-* #,##0.000_р_._-;_-* &quot;-&quot;???_р_._-;_-@_-"/>
    <numFmt numFmtId="207" formatCode="#,##0.00_ ;\-#,##0.00\ "/>
    <numFmt numFmtId="208" formatCode="#,##0_ ;\-#,##0\ "/>
    <numFmt numFmtId="209" formatCode="_-* #,##0.0_р_._-;\-* #,##0.0_р_._-;_-* &quot;-&quot;?_р_._-;_-@_-"/>
    <numFmt numFmtId="210" formatCode="_-* #,##0.0_р_._-;\-* #,##0.0_р_._-;_-* &quot;-&quot;??_р_._-;_-@_-"/>
    <numFmt numFmtId="211" formatCode="_-* #,##0_р_._-;\-* #,##0_р_._-;_-* &quot;-&quot;??_р_._-;_-@_-"/>
    <numFmt numFmtId="212" formatCode="0.000_ ;[Red]\-0.000\ "/>
    <numFmt numFmtId="213" formatCode="#,##0.000000"/>
    <numFmt numFmtId="214" formatCode="#,##0.0000"/>
    <numFmt numFmtId="215" formatCode="#,##0.000;[Red]#,##0.000"/>
    <numFmt numFmtId="216" formatCode="0.000%"/>
  </numFmts>
  <fonts count="8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18"/>
      <name val="Times New Roman"/>
      <family val="1"/>
    </font>
    <font>
      <i/>
      <sz val="8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9"/>
      <name val="Times New Roman"/>
      <family val="1"/>
    </font>
    <font>
      <b/>
      <i/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sz val="11"/>
      <color indexed="18"/>
      <name val="Times New Roman"/>
      <family val="1"/>
    </font>
    <font>
      <b/>
      <sz val="11"/>
      <color indexed="60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7"/>
      <name val="Arial Cyr"/>
      <family val="0"/>
    </font>
    <font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color indexed="1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Arial Cyr"/>
      <family val="0"/>
    </font>
    <font>
      <sz val="12"/>
      <name val="Arial Cyr"/>
      <family val="0"/>
    </font>
    <font>
      <sz val="10"/>
      <color indexed="60"/>
      <name val="Arial Cyr"/>
      <family val="0"/>
    </font>
    <font>
      <sz val="12"/>
      <color indexed="6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6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42"/>
      <name val="Times New Roman"/>
      <family val="1"/>
    </font>
    <font>
      <b/>
      <sz val="12"/>
      <color indexed="59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2"/>
      <color indexed="60"/>
      <name val="Times New Roman"/>
      <family val="1"/>
    </font>
    <font>
      <b/>
      <sz val="11"/>
      <color indexed="18"/>
      <name val="Times New Roman"/>
      <family val="1"/>
    </font>
    <font>
      <b/>
      <u val="single"/>
      <sz val="9"/>
      <color indexed="16"/>
      <name val="Times New Roman"/>
      <family val="1"/>
    </font>
    <font>
      <i/>
      <sz val="8"/>
      <color indexed="16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sz val="10"/>
      <color indexed="60"/>
      <name val="Arial Cyr"/>
      <family val="0"/>
    </font>
    <font>
      <sz val="11"/>
      <color indexed="60"/>
      <name val="Arial Cyr"/>
      <family val="0"/>
    </font>
    <font>
      <sz val="8"/>
      <name val="Times New Roman"/>
      <family val="1"/>
    </font>
    <font>
      <sz val="9"/>
      <color indexed="60"/>
      <name val="Arial Cyr"/>
      <family val="0"/>
    </font>
    <font>
      <sz val="11"/>
      <color indexed="60"/>
      <name val="Times New Roman"/>
      <family val="1"/>
    </font>
    <font>
      <i/>
      <sz val="12"/>
      <color indexed="16"/>
      <name val="Times New Roman"/>
      <family val="1"/>
    </font>
    <font>
      <sz val="11"/>
      <color indexed="60"/>
      <name val="Arial"/>
      <family val="2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sz val="14"/>
      <name val="Arial Cyr"/>
      <family val="0"/>
    </font>
    <font>
      <sz val="10"/>
      <color indexed="12"/>
      <name val="Times New Roman"/>
      <family val="1"/>
    </font>
    <font>
      <sz val="11"/>
      <color indexed="16"/>
      <name val="Times New Roman"/>
      <family val="1"/>
    </font>
    <font>
      <i/>
      <sz val="12"/>
      <color indexed="60"/>
      <name val="Times New Roman"/>
      <family val="1"/>
    </font>
    <font>
      <b/>
      <i/>
      <sz val="12"/>
      <color indexed="58"/>
      <name val="Times New Roman"/>
      <family val="1"/>
    </font>
    <font>
      <u val="single"/>
      <sz val="12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Arial Cyr"/>
      <family val="0"/>
    </font>
    <font>
      <b/>
      <sz val="14"/>
      <color indexed="16"/>
      <name val="Arial Cyr"/>
      <family val="0"/>
    </font>
    <font>
      <sz val="10"/>
      <color indexed="55"/>
      <name val="Times New Roman"/>
      <family val="1"/>
    </font>
    <font>
      <i/>
      <sz val="12"/>
      <color indexed="10"/>
      <name val="Times New Roman"/>
      <family val="1"/>
    </font>
    <font>
      <sz val="9.5"/>
      <name val="Arial Cyr"/>
      <family val="0"/>
    </font>
    <font>
      <b/>
      <sz val="9.5"/>
      <name val="Arial Cyr"/>
      <family val="0"/>
    </font>
    <font>
      <b/>
      <sz val="10.5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</cellStyleXfs>
  <cellXfs count="1356">
    <xf numFmtId="0" fontId="0" fillId="0" borderId="0" xfId="0" applyAlignment="1">
      <alignment/>
    </xf>
    <xf numFmtId="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shrinkToFit="1"/>
    </xf>
    <xf numFmtId="1" fontId="7" fillId="0" borderId="0" xfId="0" applyNumberFormat="1" applyFont="1" applyAlignment="1">
      <alignment horizontal="right" shrinkToFit="1"/>
    </xf>
    <xf numFmtId="1" fontId="7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1" fontId="7" fillId="0" borderId="3" xfId="0" applyNumberFormat="1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right" shrinkToFit="1"/>
    </xf>
    <xf numFmtId="1" fontId="7" fillId="0" borderId="3" xfId="0" applyNumberFormat="1" applyFont="1" applyBorder="1" applyAlignment="1">
      <alignment horizontal="right" shrinkToFit="1"/>
    </xf>
    <xf numFmtId="1" fontId="6" fillId="0" borderId="5" xfId="0" applyNumberFormat="1" applyFont="1" applyBorder="1" applyAlignment="1">
      <alignment horizontal="right" shrinkToFit="1"/>
    </xf>
    <xf numFmtId="1" fontId="7" fillId="0" borderId="2" xfId="0" applyNumberFormat="1" applyFont="1" applyBorder="1" applyAlignment="1">
      <alignment horizontal="right" vertical="top" shrinkToFit="1"/>
    </xf>
    <xf numFmtId="1" fontId="7" fillId="0" borderId="3" xfId="0" applyNumberFormat="1" applyFont="1" applyBorder="1" applyAlignment="1">
      <alignment horizontal="right" vertical="top" shrinkToFit="1"/>
    </xf>
    <xf numFmtId="1" fontId="6" fillId="0" borderId="5" xfId="0" applyNumberFormat="1" applyFont="1" applyBorder="1" applyAlignment="1">
      <alignment horizontal="right" vertical="top" shrinkToFit="1"/>
    </xf>
    <xf numFmtId="1" fontId="6" fillId="0" borderId="6" xfId="0" applyNumberFormat="1" applyFont="1" applyBorder="1" applyAlignment="1">
      <alignment horizontal="center" shrinkToFit="1"/>
    </xf>
    <xf numFmtId="1" fontId="15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right" vertical="top" shrinkToFit="1"/>
    </xf>
    <xf numFmtId="1" fontId="12" fillId="0" borderId="0" xfId="0" applyNumberFormat="1" applyFont="1" applyBorder="1" applyAlignment="1">
      <alignment horizontal="right" shrinkToFit="1"/>
    </xf>
    <xf numFmtId="1" fontId="7" fillId="0" borderId="0" xfId="0" applyNumberFormat="1" applyFont="1" applyBorder="1" applyAlignment="1">
      <alignment horizontal="right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11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3"/>
    </xf>
    <xf numFmtId="0" fontId="4" fillId="0" borderId="8" xfId="0" applyFont="1" applyBorder="1" applyAlignment="1">
      <alignment horizontal="left" vertical="top" wrapText="1" indent="3"/>
    </xf>
    <xf numFmtId="0" fontId="5" fillId="0" borderId="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 vertical="justify"/>
    </xf>
    <xf numFmtId="0" fontId="4" fillId="0" borderId="5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5" fillId="0" borderId="8" xfId="0" applyFont="1" applyBorder="1" applyAlignment="1">
      <alignment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195" fontId="0" fillId="0" borderId="16" xfId="0" applyNumberFormat="1" applyBorder="1" applyAlignment="1">
      <alignment vertical="center"/>
    </xf>
    <xf numFmtId="192" fontId="0" fillId="0" borderId="2" xfId="0" applyNumberFormat="1" applyBorder="1" applyAlignment="1">
      <alignment vertical="center"/>
    </xf>
    <xf numFmtId="0" fontId="4" fillId="0" borderId="9" xfId="0" applyFont="1" applyBorder="1" applyAlignment="1">
      <alignment wrapText="1"/>
    </xf>
    <xf numFmtId="195" fontId="4" fillId="0" borderId="11" xfId="0" applyNumberFormat="1" applyFont="1" applyBorder="1" applyAlignment="1">
      <alignment wrapText="1"/>
    </xf>
    <xf numFmtId="195" fontId="4" fillId="0" borderId="9" xfId="0" applyNumberFormat="1" applyFont="1" applyBorder="1" applyAlignment="1">
      <alignment wrapText="1"/>
    </xf>
    <xf numFmtId="195" fontId="4" fillId="0" borderId="0" xfId="0" applyNumberFormat="1" applyFont="1" applyBorder="1" applyAlignment="1">
      <alignment wrapText="1"/>
    </xf>
    <xf numFmtId="195" fontId="4" fillId="0" borderId="17" xfId="0" applyNumberFormat="1" applyFont="1" applyBorder="1" applyAlignment="1">
      <alignment wrapText="1"/>
    </xf>
    <xf numFmtId="195" fontId="4" fillId="0" borderId="12" xfId="0" applyNumberFormat="1" applyFont="1" applyBorder="1" applyAlignment="1">
      <alignment wrapText="1"/>
    </xf>
    <xf numFmtId="195" fontId="4" fillId="0" borderId="18" xfId="0" applyNumberFormat="1" applyFont="1" applyBorder="1" applyAlignment="1">
      <alignment wrapText="1"/>
    </xf>
    <xf numFmtId="195" fontId="4" fillId="0" borderId="8" xfId="0" applyNumberFormat="1" applyFont="1" applyBorder="1" applyAlignment="1">
      <alignment wrapText="1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95" fontId="5" fillId="0" borderId="11" xfId="0" applyNumberFormat="1" applyFont="1" applyBorder="1" applyAlignment="1">
      <alignment wrapText="1"/>
    </xf>
    <xf numFmtId="195" fontId="5" fillId="0" borderId="9" xfId="0" applyNumberFormat="1" applyFont="1" applyBorder="1" applyAlignment="1">
      <alignment wrapText="1"/>
    </xf>
    <xf numFmtId="195" fontId="5" fillId="0" borderId="12" xfId="0" applyNumberFormat="1" applyFont="1" applyBorder="1" applyAlignment="1">
      <alignment wrapText="1"/>
    </xf>
    <xf numFmtId="0" fontId="24" fillId="0" borderId="0" xfId="0" applyFont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wrapText="1"/>
    </xf>
    <xf numFmtId="195" fontId="1" fillId="0" borderId="0" xfId="0" applyNumberFormat="1" applyFont="1" applyAlignment="1">
      <alignment vertical="center"/>
    </xf>
    <xf numFmtId="195" fontId="5" fillId="0" borderId="5" xfId="0" applyNumberFormat="1" applyFont="1" applyBorder="1" applyAlignment="1">
      <alignment wrapText="1"/>
    </xf>
    <xf numFmtId="195" fontId="5" fillId="0" borderId="8" xfId="0" applyNumberFormat="1" applyFont="1" applyBorder="1" applyAlignment="1">
      <alignment wrapText="1"/>
    </xf>
    <xf numFmtId="195" fontId="4" fillId="0" borderId="11" xfId="0" applyNumberFormat="1" applyFont="1" applyBorder="1" applyAlignment="1">
      <alignment vertical="top" wrapText="1"/>
    </xf>
    <xf numFmtId="195" fontId="0" fillId="0" borderId="0" xfId="0" applyNumberFormat="1" applyAlignment="1">
      <alignment vertical="center"/>
    </xf>
    <xf numFmtId="195" fontId="20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95" fontId="4" fillId="0" borderId="9" xfId="0" applyNumberFormat="1" applyFont="1" applyBorder="1" applyAlignment="1">
      <alignment horizontal="center" vertical="top" wrapText="1"/>
    </xf>
    <xf numFmtId="195" fontId="5" fillId="0" borderId="12" xfId="0" applyNumberFormat="1" applyFont="1" applyBorder="1" applyAlignment="1">
      <alignment vertical="top" wrapText="1"/>
    </xf>
    <xf numFmtId="195" fontId="4" fillId="0" borderId="17" xfId="0" applyNumberFormat="1" applyFont="1" applyBorder="1" applyAlignment="1">
      <alignment horizontal="left" vertical="top" wrapText="1" indent="1"/>
    </xf>
    <xf numFmtId="195" fontId="4" fillId="0" borderId="12" xfId="0" applyNumberFormat="1" applyFont="1" applyBorder="1" applyAlignment="1">
      <alignment horizontal="left" vertical="top" wrapText="1" indent="1"/>
    </xf>
    <xf numFmtId="195" fontId="4" fillId="0" borderId="12" xfId="0" applyNumberFormat="1" applyFont="1" applyBorder="1" applyAlignment="1">
      <alignment horizontal="left" vertical="top" wrapText="1" indent="3"/>
    </xf>
    <xf numFmtId="195" fontId="4" fillId="0" borderId="8" xfId="0" applyNumberFormat="1" applyFont="1" applyBorder="1" applyAlignment="1">
      <alignment horizontal="left" vertical="top" wrapText="1" indent="3"/>
    </xf>
    <xf numFmtId="195" fontId="4" fillId="0" borderId="8" xfId="0" applyNumberFormat="1" applyFont="1" applyBorder="1" applyAlignment="1">
      <alignment horizontal="left" vertical="top" wrapText="1" indent="1"/>
    </xf>
    <xf numFmtId="195" fontId="5" fillId="0" borderId="8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95" fontId="5" fillId="0" borderId="9" xfId="0" applyNumberFormat="1" applyFont="1" applyBorder="1" applyAlignment="1">
      <alignment vertical="top" wrapText="1"/>
    </xf>
    <xf numFmtId="195" fontId="4" fillId="0" borderId="12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195" fontId="4" fillId="0" borderId="8" xfId="0" applyNumberFormat="1" applyFont="1" applyBorder="1" applyAlignment="1">
      <alignment vertical="top" wrapText="1"/>
    </xf>
    <xf numFmtId="195" fontId="5" fillId="0" borderId="9" xfId="0" applyNumberFormat="1" applyFont="1" applyBorder="1" applyAlignment="1">
      <alignment vertical="center" wrapText="1"/>
    </xf>
    <xf numFmtId="195" fontId="4" fillId="0" borderId="15" xfId="0" applyNumberFormat="1" applyFont="1" applyBorder="1" applyAlignment="1">
      <alignment vertical="top" wrapText="1"/>
    </xf>
    <xf numFmtId="195" fontId="4" fillId="0" borderId="0" xfId="0" applyNumberFormat="1" applyFont="1" applyBorder="1" applyAlignment="1">
      <alignment vertical="top" wrapText="1"/>
    </xf>
    <xf numFmtId="195" fontId="4" fillId="0" borderId="9" xfId="0" applyNumberFormat="1" applyFont="1" applyBorder="1" applyAlignment="1">
      <alignment vertical="center" wrapText="1"/>
    </xf>
    <xf numFmtId="195" fontId="5" fillId="0" borderId="11" xfId="0" applyNumberFormat="1" applyFont="1" applyBorder="1" applyAlignment="1">
      <alignment vertical="top" wrapText="1"/>
    </xf>
    <xf numFmtId="195" fontId="0" fillId="0" borderId="10" xfId="0" applyNumberFormat="1" applyBorder="1" applyAlignment="1">
      <alignment vertical="center"/>
    </xf>
    <xf numFmtId="195" fontId="0" fillId="0" borderId="2" xfId="0" applyNumberFormat="1" applyBorder="1" applyAlignment="1">
      <alignment vertical="center"/>
    </xf>
    <xf numFmtId="195" fontId="0" fillId="0" borderId="1" xfId="0" applyNumberFormat="1" applyBorder="1" applyAlignment="1">
      <alignment vertical="center"/>
    </xf>
    <xf numFmtId="195" fontId="4" fillId="0" borderId="12" xfId="0" applyNumberFormat="1" applyFont="1" applyBorder="1" applyAlignment="1">
      <alignment horizontal="left" vertical="top" wrapText="1" indent="2"/>
    </xf>
    <xf numFmtId="0" fontId="2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95" fontId="5" fillId="0" borderId="7" xfId="0" applyNumberFormat="1" applyFont="1" applyBorder="1" applyAlignment="1">
      <alignment vertical="top" wrapText="1"/>
    </xf>
    <xf numFmtId="195" fontId="4" fillId="0" borderId="11" xfId="0" applyNumberFormat="1" applyFont="1" applyBorder="1" applyAlignment="1">
      <alignment vertical="justify" wrapText="1"/>
    </xf>
    <xf numFmtId="195" fontId="4" fillId="0" borderId="9" xfId="0" applyNumberFormat="1" applyFont="1" applyBorder="1" applyAlignment="1">
      <alignment vertical="justify" wrapText="1"/>
    </xf>
    <xf numFmtId="0" fontId="5" fillId="0" borderId="17" xfId="0" applyFont="1" applyBorder="1" applyAlignment="1">
      <alignment vertical="top" wrapText="1"/>
    </xf>
    <xf numFmtId="195" fontId="5" fillId="0" borderId="17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195" fontId="5" fillId="0" borderId="5" xfId="0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195" fontId="5" fillId="0" borderId="13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92" fontId="0" fillId="0" borderId="20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23" fillId="0" borderId="23" xfId="0" applyNumberFormat="1" applyFon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23" fillId="0" borderId="21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95" fontId="5" fillId="0" borderId="0" xfId="0" applyNumberFormat="1" applyFont="1" applyBorder="1" applyAlignment="1">
      <alignment vertical="top" wrapText="1"/>
    </xf>
    <xf numFmtId="9" fontId="1" fillId="0" borderId="2" xfId="0" applyNumberFormat="1" applyFont="1" applyBorder="1" applyAlignment="1">
      <alignment vertical="center"/>
    </xf>
    <xf numFmtId="195" fontId="0" fillId="0" borderId="25" xfId="0" applyNumberFormat="1" applyBorder="1" applyAlignment="1">
      <alignment vertical="center"/>
    </xf>
    <xf numFmtId="195" fontId="25" fillId="0" borderId="3" xfId="0" applyNumberFormat="1" applyFont="1" applyBorder="1" applyAlignment="1">
      <alignment vertical="center"/>
    </xf>
    <xf numFmtId="195" fontId="0" fillId="0" borderId="3" xfId="0" applyNumberFormat="1" applyBorder="1" applyAlignment="1">
      <alignment vertical="center"/>
    </xf>
    <xf numFmtId="195" fontId="0" fillId="0" borderId="2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27" fillId="0" borderId="0" xfId="0" applyFont="1" applyAlignment="1">
      <alignment/>
    </xf>
    <xf numFmtId="19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left" vertical="center"/>
    </xf>
    <xf numFmtId="192" fontId="1" fillId="0" borderId="0" xfId="0" applyNumberFormat="1" applyFont="1" applyAlignment="1">
      <alignment horizontal="left" vertical="center"/>
    </xf>
    <xf numFmtId="195" fontId="5" fillId="0" borderId="12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6" fillId="0" borderId="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195" fontId="4" fillId="0" borderId="11" xfId="0" applyNumberFormat="1" applyFont="1" applyBorder="1" applyAlignment="1">
      <alignment vertical="center" wrapText="1"/>
    </xf>
    <xf numFmtId="195" fontId="5" fillId="0" borderId="11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left" vertical="top" wrapText="1" indent="1"/>
    </xf>
    <xf numFmtId="195" fontId="28" fillId="0" borderId="12" xfId="0" applyNumberFormat="1" applyFont="1" applyBorder="1" applyAlignment="1">
      <alignment vertical="center" wrapText="1"/>
    </xf>
    <xf numFmtId="195" fontId="29" fillId="0" borderId="11" xfId="0" applyNumberFormat="1" applyFont="1" applyBorder="1" applyAlignment="1">
      <alignment vertical="center" wrapText="1"/>
    </xf>
    <xf numFmtId="195" fontId="28" fillId="0" borderId="11" xfId="0" applyNumberFormat="1" applyFont="1" applyBorder="1" applyAlignment="1">
      <alignment vertical="center" wrapText="1"/>
    </xf>
    <xf numFmtId="0" fontId="30" fillId="0" borderId="0" xfId="0" applyFont="1" applyAlignment="1">
      <alignment vertical="center"/>
    </xf>
    <xf numFmtId="195" fontId="28" fillId="0" borderId="12" xfId="0" applyNumberFormat="1" applyFont="1" applyBorder="1" applyAlignment="1">
      <alignment wrapText="1"/>
    </xf>
    <xf numFmtId="0" fontId="31" fillId="0" borderId="0" xfId="0" applyFont="1" applyAlignment="1">
      <alignment vertical="center"/>
    </xf>
    <xf numFmtId="0" fontId="32" fillId="0" borderId="12" xfId="0" applyFont="1" applyBorder="1" applyAlignment="1">
      <alignment vertical="top" wrapText="1"/>
    </xf>
    <xf numFmtId="195" fontId="32" fillId="0" borderId="17" xfId="0" applyNumberFormat="1" applyFont="1" applyBorder="1" applyAlignment="1">
      <alignment wrapText="1"/>
    </xf>
    <xf numFmtId="195" fontId="33" fillId="0" borderId="19" xfId="0" applyNumberFormat="1" applyFont="1" applyBorder="1" applyAlignment="1">
      <alignment wrapText="1"/>
    </xf>
    <xf numFmtId="195" fontId="32" fillId="0" borderId="19" xfId="0" applyNumberFormat="1" applyFont="1" applyBorder="1" applyAlignment="1">
      <alignment wrapText="1"/>
    </xf>
    <xf numFmtId="0" fontId="34" fillId="0" borderId="0" xfId="0" applyFont="1" applyAlignment="1">
      <alignment vertical="center"/>
    </xf>
    <xf numFmtId="195" fontId="32" fillId="0" borderId="11" xfId="0" applyNumberFormat="1" applyFont="1" applyBorder="1" applyAlignment="1">
      <alignment wrapText="1"/>
    </xf>
    <xf numFmtId="195" fontId="29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95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vertical="center"/>
    </xf>
    <xf numFmtId="195" fontId="0" fillId="0" borderId="0" xfId="0" applyNumberFormat="1" applyAlignment="1">
      <alignment horizontal="center" vertical="center"/>
    </xf>
    <xf numFmtId="195" fontId="4" fillId="0" borderId="5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9" fontId="4" fillId="0" borderId="9" xfId="0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center"/>
    </xf>
    <xf numFmtId="0" fontId="35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195" fontId="5" fillId="0" borderId="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95" fontId="5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95" fontId="5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2" fontId="5" fillId="0" borderId="15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95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vertical="justify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distributed" wrapText="1"/>
    </xf>
    <xf numFmtId="0" fontId="5" fillId="0" borderId="11" xfId="0" applyFont="1" applyBorder="1" applyAlignment="1">
      <alignment horizontal="center" vertical="top" wrapText="1"/>
    </xf>
    <xf numFmtId="195" fontId="0" fillId="0" borderId="31" xfId="0" applyNumberFormat="1" applyBorder="1" applyAlignment="1">
      <alignment vertical="center"/>
    </xf>
    <xf numFmtId="0" fontId="5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95" fontId="0" fillId="0" borderId="32" xfId="0" applyNumberFormat="1" applyBorder="1" applyAlignment="1">
      <alignment vertical="center"/>
    </xf>
    <xf numFmtId="195" fontId="0" fillId="0" borderId="33" xfId="0" applyNumberFormat="1" applyBorder="1" applyAlignment="1">
      <alignment vertical="center"/>
    </xf>
    <xf numFmtId="195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95" fontId="0" fillId="0" borderId="28" xfId="0" applyNumberFormat="1" applyBorder="1" applyAlignment="1">
      <alignment vertical="center"/>
    </xf>
    <xf numFmtId="195" fontId="0" fillId="0" borderId="35" xfId="0" applyNumberFormat="1" applyBorder="1" applyAlignment="1">
      <alignment vertical="center"/>
    </xf>
    <xf numFmtId="195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95" fontId="0" fillId="0" borderId="38" xfId="0" applyNumberFormat="1" applyBorder="1" applyAlignment="1">
      <alignment vertical="center"/>
    </xf>
    <xf numFmtId="195" fontId="0" fillId="0" borderId="39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195" fontId="0" fillId="0" borderId="37" xfId="0" applyNumberFormat="1" applyBorder="1" applyAlignment="1">
      <alignment vertical="center"/>
    </xf>
    <xf numFmtId="195" fontId="0" fillId="0" borderId="40" xfId="0" applyNumberFormat="1" applyBorder="1" applyAlignment="1">
      <alignment vertical="center"/>
    </xf>
    <xf numFmtId="195" fontId="0" fillId="0" borderId="41" xfId="0" applyNumberFormat="1" applyBorder="1" applyAlignment="1">
      <alignment vertical="center"/>
    </xf>
    <xf numFmtId="195" fontId="0" fillId="0" borderId="42" xfId="0" applyNumberFormat="1" applyBorder="1" applyAlignment="1">
      <alignment vertical="center"/>
    </xf>
    <xf numFmtId="195" fontId="25" fillId="0" borderId="38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95" fontId="1" fillId="0" borderId="23" xfId="0" applyNumberFormat="1" applyFont="1" applyBorder="1" applyAlignment="1">
      <alignment vertical="center"/>
    </xf>
    <xf numFmtId="195" fontId="1" fillId="0" borderId="24" xfId="0" applyNumberFormat="1" applyFont="1" applyBorder="1" applyAlignment="1">
      <alignment vertical="center"/>
    </xf>
    <xf numFmtId="195" fontId="1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195" fontId="1" fillId="0" borderId="20" xfId="0" applyNumberFormat="1" applyFont="1" applyBorder="1" applyAlignment="1">
      <alignment vertical="center"/>
    </xf>
    <xf numFmtId="195" fontId="1" fillId="0" borderId="5" xfId="0" applyNumberFormat="1" applyFont="1" applyBorder="1" applyAlignment="1">
      <alignment vertical="center"/>
    </xf>
    <xf numFmtId="195" fontId="1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192" fontId="0" fillId="0" borderId="16" xfId="0" applyNumberFormat="1" applyBorder="1" applyAlignment="1">
      <alignment vertical="center"/>
    </xf>
    <xf numFmtId="192" fontId="0" fillId="0" borderId="43" xfId="0" applyNumberFormat="1" applyBorder="1" applyAlignment="1">
      <alignment vertical="center"/>
    </xf>
    <xf numFmtId="195" fontId="5" fillId="0" borderId="11" xfId="0" applyNumberFormat="1" applyFont="1" applyBorder="1" applyAlignment="1">
      <alignment horizontal="left" wrapText="1"/>
    </xf>
    <xf numFmtId="195" fontId="1" fillId="0" borderId="9" xfId="0" applyNumberFormat="1" applyFont="1" applyBorder="1" applyAlignment="1">
      <alignment wrapText="1"/>
    </xf>
    <xf numFmtId="195" fontId="5" fillId="0" borderId="13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4" fillId="0" borderId="12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45" xfId="0" applyFont="1" applyBorder="1" applyAlignment="1">
      <alignment wrapText="1"/>
    </xf>
    <xf numFmtId="1" fontId="5" fillId="0" borderId="17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wrapText="1"/>
    </xf>
    <xf numFmtId="195" fontId="5" fillId="0" borderId="1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3" fillId="0" borderId="0" xfId="0" applyFont="1" applyAlignment="1">
      <alignment vertical="center"/>
    </xf>
    <xf numFmtId="195" fontId="5" fillId="0" borderId="17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9" fontId="4" fillId="0" borderId="17" xfId="0" applyNumberFormat="1" applyFont="1" applyBorder="1" applyAlignment="1">
      <alignment horizontal="center" vertical="top" wrapText="1"/>
    </xf>
    <xf numFmtId="192" fontId="0" fillId="0" borderId="46" xfId="0" applyNumberFormat="1" applyBorder="1" applyAlignment="1">
      <alignment vertical="center"/>
    </xf>
    <xf numFmtId="195" fontId="39" fillId="0" borderId="47" xfId="0" applyNumberFormat="1" applyFont="1" applyBorder="1" applyAlignment="1">
      <alignment vertical="center"/>
    </xf>
    <xf numFmtId="195" fontId="0" fillId="0" borderId="46" xfId="0" applyNumberFormat="1" applyBorder="1" applyAlignment="1">
      <alignment vertical="center"/>
    </xf>
    <xf numFmtId="192" fontId="0" fillId="0" borderId="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5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192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92" fontId="1" fillId="0" borderId="49" xfId="0" applyNumberFormat="1" applyFont="1" applyBorder="1" applyAlignment="1">
      <alignment vertical="center"/>
    </xf>
    <xf numFmtId="195" fontId="4" fillId="0" borderId="51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center" wrapText="1"/>
    </xf>
    <xf numFmtId="192" fontId="44" fillId="0" borderId="45" xfId="0" applyNumberFormat="1" applyFont="1" applyBorder="1" applyAlignment="1">
      <alignment horizontal="left" vertical="center"/>
    </xf>
    <xf numFmtId="192" fontId="0" fillId="0" borderId="45" xfId="0" applyNumberFormat="1" applyBorder="1" applyAlignment="1">
      <alignment vertical="center"/>
    </xf>
    <xf numFmtId="192" fontId="44" fillId="0" borderId="39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top" wrapText="1"/>
    </xf>
    <xf numFmtId="195" fontId="5" fillId="0" borderId="27" xfId="0" applyNumberFormat="1" applyFont="1" applyBorder="1" applyAlignment="1">
      <alignment vertical="top" wrapText="1"/>
    </xf>
    <xf numFmtId="195" fontId="4" fillId="0" borderId="2" xfId="0" applyNumberFormat="1" applyFont="1" applyBorder="1" applyAlignment="1">
      <alignment vertical="top" wrapText="1"/>
    </xf>
    <xf numFmtId="195" fontId="4" fillId="0" borderId="52" xfId="0" applyNumberFormat="1" applyFont="1" applyBorder="1" applyAlignment="1">
      <alignment vertical="top" wrapText="1"/>
    </xf>
    <xf numFmtId="195" fontId="4" fillId="0" borderId="10" xfId="0" applyNumberFormat="1" applyFont="1" applyBorder="1" applyAlignment="1">
      <alignment vertical="top" wrapText="1"/>
    </xf>
    <xf numFmtId="195" fontId="4" fillId="0" borderId="53" xfId="0" applyNumberFormat="1" applyFont="1" applyBorder="1" applyAlignment="1">
      <alignment vertical="top" wrapText="1"/>
    </xf>
    <xf numFmtId="195" fontId="4" fillId="0" borderId="50" xfId="0" applyNumberFormat="1" applyFont="1" applyBorder="1" applyAlignment="1">
      <alignment vertical="top" wrapText="1"/>
    </xf>
    <xf numFmtId="195" fontId="4" fillId="0" borderId="54" xfId="0" applyNumberFormat="1" applyFont="1" applyBorder="1" applyAlignment="1">
      <alignment vertical="top" wrapText="1"/>
    </xf>
    <xf numFmtId="195" fontId="4" fillId="0" borderId="16" xfId="0" applyNumberFormat="1" applyFont="1" applyBorder="1" applyAlignment="1">
      <alignment vertical="top" wrapText="1"/>
    </xf>
    <xf numFmtId="195" fontId="4" fillId="0" borderId="43" xfId="0" applyNumberFormat="1" applyFont="1" applyBorder="1" applyAlignment="1">
      <alignment vertical="top" wrapText="1"/>
    </xf>
    <xf numFmtId="195" fontId="5" fillId="0" borderId="44" xfId="0" applyNumberFormat="1" applyFont="1" applyBorder="1" applyAlignment="1">
      <alignment vertical="top" wrapText="1"/>
    </xf>
    <xf numFmtId="195" fontId="5" fillId="0" borderId="18" xfId="0" applyNumberFormat="1" applyFont="1" applyBorder="1" applyAlignment="1">
      <alignment vertical="top" wrapText="1"/>
    </xf>
    <xf numFmtId="195" fontId="5" fillId="0" borderId="46" xfId="0" applyNumberFormat="1" applyFont="1" applyBorder="1" applyAlignment="1">
      <alignment vertical="top" wrapText="1"/>
    </xf>
    <xf numFmtId="195" fontId="5" fillId="0" borderId="48" xfId="0" applyNumberFormat="1" applyFont="1" applyBorder="1" applyAlignment="1">
      <alignment vertical="top" wrapText="1"/>
    </xf>
    <xf numFmtId="195" fontId="4" fillId="0" borderId="6" xfId="0" applyNumberFormat="1" applyFont="1" applyBorder="1" applyAlignment="1">
      <alignment vertical="top" wrapText="1"/>
    </xf>
    <xf numFmtId="195" fontId="4" fillId="0" borderId="1" xfId="0" applyNumberFormat="1" applyFont="1" applyBorder="1" applyAlignment="1">
      <alignment vertical="top" wrapText="1"/>
    </xf>
    <xf numFmtId="195" fontId="4" fillId="0" borderId="55" xfId="0" applyNumberFormat="1" applyFont="1" applyBorder="1" applyAlignment="1">
      <alignment vertical="top" wrapText="1"/>
    </xf>
    <xf numFmtId="195" fontId="4" fillId="0" borderId="37" xfId="0" applyNumberFormat="1" applyFont="1" applyBorder="1" applyAlignment="1">
      <alignment vertical="top" wrapText="1"/>
    </xf>
    <xf numFmtId="195" fontId="5" fillId="0" borderId="56" xfId="0" applyNumberFormat="1" applyFont="1" applyBorder="1" applyAlignment="1">
      <alignment vertical="top" wrapText="1"/>
    </xf>
    <xf numFmtId="195" fontId="4" fillId="0" borderId="40" xfId="0" applyNumberFormat="1" applyFont="1" applyBorder="1" applyAlignment="1">
      <alignment vertical="top" wrapText="1"/>
    </xf>
    <xf numFmtId="195" fontId="4" fillId="0" borderId="57" xfId="0" applyNumberFormat="1" applyFont="1" applyBorder="1" applyAlignment="1">
      <alignment vertical="top" wrapText="1"/>
    </xf>
    <xf numFmtId="195" fontId="4" fillId="0" borderId="3" xfId="0" applyNumberFormat="1" applyFont="1" applyBorder="1" applyAlignment="1">
      <alignment vertical="top" wrapText="1"/>
    </xf>
    <xf numFmtId="195" fontId="4" fillId="0" borderId="49" xfId="0" applyNumberFormat="1" applyFont="1" applyBorder="1" applyAlignment="1">
      <alignment vertical="top" wrapText="1"/>
    </xf>
    <xf numFmtId="195" fontId="4" fillId="0" borderId="58" xfId="0" applyNumberFormat="1" applyFont="1" applyBorder="1" applyAlignment="1">
      <alignment vertical="top" wrapText="1"/>
    </xf>
    <xf numFmtId="195" fontId="4" fillId="0" borderId="46" xfId="0" applyNumberFormat="1" applyFont="1" applyBorder="1" applyAlignment="1">
      <alignment vertical="top" wrapText="1"/>
    </xf>
    <xf numFmtId="195" fontId="4" fillId="0" borderId="39" xfId="0" applyNumberFormat="1" applyFont="1" applyBorder="1" applyAlignment="1">
      <alignment vertical="top" wrapText="1"/>
    </xf>
    <xf numFmtId="195" fontId="4" fillId="0" borderId="34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95" fontId="4" fillId="0" borderId="2" xfId="0" applyNumberFormat="1" applyFont="1" applyBorder="1" applyAlignment="1">
      <alignment vertical="distributed" wrapText="1"/>
    </xf>
    <xf numFmtId="195" fontId="5" fillId="0" borderId="27" xfId="0" applyNumberFormat="1" applyFont="1" applyBorder="1" applyAlignment="1">
      <alignment vertical="distributed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1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26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195" fontId="5" fillId="2" borderId="8" xfId="0" applyNumberFormat="1" applyFont="1" applyFill="1" applyBorder="1" applyAlignment="1">
      <alignment vertical="top" wrapText="1"/>
    </xf>
    <xf numFmtId="195" fontId="5" fillId="2" borderId="5" xfId="0" applyNumberFormat="1" applyFont="1" applyFill="1" applyBorder="1" applyAlignment="1">
      <alignment vertical="top" wrapText="1"/>
    </xf>
    <xf numFmtId="195" fontId="5" fillId="2" borderId="12" xfId="0" applyNumberFormat="1" applyFont="1" applyFill="1" applyBorder="1" applyAlignment="1">
      <alignment vertical="top" wrapText="1"/>
    </xf>
    <xf numFmtId="195" fontId="5" fillId="2" borderId="9" xfId="0" applyNumberFormat="1" applyFont="1" applyFill="1" applyBorder="1" applyAlignment="1">
      <alignment vertical="top" wrapText="1"/>
    </xf>
    <xf numFmtId="195" fontId="5" fillId="2" borderId="11" xfId="0" applyNumberFormat="1" applyFont="1" applyFill="1" applyBorder="1" applyAlignment="1">
      <alignment vertical="top" wrapText="1"/>
    </xf>
    <xf numFmtId="195" fontId="5" fillId="2" borderId="13" xfId="0" applyNumberFormat="1" applyFont="1" applyFill="1" applyBorder="1" applyAlignment="1">
      <alignment vertical="top" wrapText="1"/>
    </xf>
    <xf numFmtId="195" fontId="5" fillId="2" borderId="18" xfId="0" applyNumberFormat="1" applyFont="1" applyFill="1" applyBorder="1" applyAlignment="1">
      <alignment vertical="top" wrapText="1"/>
    </xf>
    <xf numFmtId="195" fontId="5" fillId="2" borderId="27" xfId="0" applyNumberFormat="1" applyFont="1" applyFill="1" applyBorder="1" applyAlignment="1">
      <alignment vertical="top" wrapText="1"/>
    </xf>
    <xf numFmtId="195" fontId="5" fillId="2" borderId="0" xfId="0" applyNumberFormat="1" applyFont="1" applyFill="1" applyBorder="1" applyAlignment="1">
      <alignment vertical="top" wrapText="1"/>
    </xf>
    <xf numFmtId="195" fontId="5" fillId="2" borderId="20" xfId="0" applyNumberFormat="1" applyFont="1" applyFill="1" applyBorder="1" applyAlignment="1">
      <alignment vertical="top" wrapText="1"/>
    </xf>
    <xf numFmtId="195" fontId="32" fillId="2" borderId="22" xfId="0" applyNumberFormat="1" applyFont="1" applyFill="1" applyBorder="1" applyAlignment="1">
      <alignment vertical="top" wrapText="1"/>
    </xf>
    <xf numFmtId="195" fontId="5" fillId="2" borderId="59" xfId="0" applyNumberFormat="1" applyFont="1" applyFill="1" applyBorder="1" applyAlignment="1">
      <alignment vertical="top" wrapText="1"/>
    </xf>
    <xf numFmtId="195" fontId="5" fillId="2" borderId="15" xfId="0" applyNumberFormat="1" applyFont="1" applyFill="1" applyBorder="1" applyAlignment="1">
      <alignment vertical="top" wrapText="1"/>
    </xf>
    <xf numFmtId="195" fontId="4" fillId="2" borderId="15" xfId="0" applyNumberFormat="1" applyFont="1" applyFill="1" applyBorder="1" applyAlignment="1">
      <alignment vertical="top" wrapText="1"/>
    </xf>
    <xf numFmtId="195" fontId="5" fillId="2" borderId="14" xfId="0" applyNumberFormat="1" applyFont="1" applyFill="1" applyBorder="1" applyAlignment="1">
      <alignment vertical="top" wrapText="1"/>
    </xf>
    <xf numFmtId="195" fontId="5" fillId="2" borderId="7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195" fontId="4" fillId="0" borderId="60" xfId="0" applyNumberFormat="1" applyFont="1" applyBorder="1" applyAlignment="1">
      <alignment vertical="top" wrapText="1"/>
    </xf>
    <xf numFmtId="195" fontId="4" fillId="0" borderId="33" xfId="0" applyNumberFormat="1" applyFont="1" applyBorder="1" applyAlignment="1">
      <alignment vertical="top" wrapText="1"/>
    </xf>
    <xf numFmtId="195" fontId="4" fillId="0" borderId="5" xfId="0" applyNumberFormat="1" applyFont="1" applyBorder="1" applyAlignment="1">
      <alignment vertical="distributed" wrapText="1"/>
    </xf>
    <xf numFmtId="195" fontId="4" fillId="2" borderId="5" xfId="0" applyNumberFormat="1" applyFont="1" applyFill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195" fontId="5" fillId="0" borderId="18" xfId="0" applyNumberFormat="1" applyFont="1" applyBorder="1" applyAlignment="1">
      <alignment vertical="center" wrapText="1"/>
    </xf>
    <xf numFmtId="195" fontId="5" fillId="0" borderId="0" xfId="0" applyNumberFormat="1" applyFont="1" applyBorder="1" applyAlignment="1">
      <alignment vertical="center" wrapText="1"/>
    </xf>
    <xf numFmtId="195" fontId="4" fillId="0" borderId="2" xfId="0" applyNumberFormat="1" applyFont="1" applyBorder="1" applyAlignment="1">
      <alignment vertical="center" wrapText="1"/>
    </xf>
    <xf numFmtId="195" fontId="4" fillId="0" borderId="51" xfId="0" applyNumberFormat="1" applyFont="1" applyBorder="1" applyAlignment="1">
      <alignment vertical="center" wrapText="1"/>
    </xf>
    <xf numFmtId="195" fontId="4" fillId="0" borderId="50" xfId="0" applyNumberFormat="1" applyFont="1" applyBorder="1" applyAlignment="1">
      <alignment vertical="center" wrapText="1"/>
    </xf>
    <xf numFmtId="195" fontId="5" fillId="0" borderId="54" xfId="0" applyNumberFormat="1" applyFont="1" applyBorder="1" applyAlignment="1">
      <alignment vertical="center" wrapText="1"/>
    </xf>
    <xf numFmtId="195" fontId="4" fillId="0" borderId="16" xfId="0" applyNumberFormat="1" applyFont="1" applyBorder="1" applyAlignment="1">
      <alignment vertical="center" wrapText="1"/>
    </xf>
    <xf numFmtId="195" fontId="4" fillId="0" borderId="43" xfId="0" applyNumberFormat="1" applyFont="1" applyBorder="1" applyAlignment="1">
      <alignment vertical="center" wrapText="1"/>
    </xf>
    <xf numFmtId="195" fontId="4" fillId="0" borderId="54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top" wrapText="1"/>
    </xf>
    <xf numFmtId="195" fontId="5" fillId="0" borderId="59" xfId="0" applyNumberFormat="1" applyFont="1" applyBorder="1" applyAlignment="1">
      <alignment vertical="top" wrapText="1"/>
    </xf>
    <xf numFmtId="195" fontId="5" fillId="0" borderId="15" xfId="0" applyNumberFormat="1" applyFont="1" applyBorder="1" applyAlignment="1">
      <alignment vertical="top" wrapText="1"/>
    </xf>
    <xf numFmtId="195" fontId="4" fillId="0" borderId="61" xfId="0" applyNumberFormat="1" applyFont="1" applyBorder="1" applyAlignment="1">
      <alignment vertical="top" wrapText="1"/>
    </xf>
    <xf numFmtId="195" fontId="4" fillId="0" borderId="45" xfId="0" applyNumberFormat="1" applyFont="1" applyBorder="1" applyAlignment="1">
      <alignment vertical="top" wrapText="1"/>
    </xf>
    <xf numFmtId="195" fontId="4" fillId="0" borderId="20" xfId="0" applyNumberFormat="1" applyFont="1" applyBorder="1" applyAlignment="1">
      <alignment horizontal="left" vertical="top" wrapText="1" indent="1"/>
    </xf>
    <xf numFmtId="195" fontId="4" fillId="0" borderId="23" xfId="0" applyNumberFormat="1" applyFont="1" applyBorder="1" applyAlignment="1">
      <alignment horizontal="left" vertical="top" wrapText="1" indent="1"/>
    </xf>
    <xf numFmtId="9" fontId="4" fillId="0" borderId="18" xfId="0" applyNumberFormat="1" applyFont="1" applyBorder="1" applyAlignment="1">
      <alignment horizontal="center" vertical="top" wrapText="1"/>
    </xf>
    <xf numFmtId="195" fontId="4" fillId="0" borderId="56" xfId="0" applyNumberFormat="1" applyFont="1" applyBorder="1" applyAlignment="1">
      <alignment vertical="top" wrapText="1"/>
    </xf>
    <xf numFmtId="195" fontId="5" fillId="0" borderId="2" xfId="0" applyNumberFormat="1" applyFont="1" applyBorder="1" applyAlignment="1">
      <alignment vertical="top" wrapText="1"/>
    </xf>
    <xf numFmtId="195" fontId="4" fillId="0" borderId="62" xfId="0" applyNumberFormat="1" applyFont="1" applyBorder="1" applyAlignment="1">
      <alignment vertical="top" wrapText="1"/>
    </xf>
    <xf numFmtId="192" fontId="5" fillId="0" borderId="0" xfId="0" applyNumberFormat="1" applyFont="1" applyBorder="1" applyAlignment="1">
      <alignment vertical="top" wrapText="1"/>
    </xf>
    <xf numFmtId="195" fontId="5" fillId="0" borderId="51" xfId="0" applyNumberFormat="1" applyFont="1" applyBorder="1" applyAlignment="1">
      <alignment vertical="top" wrapText="1"/>
    </xf>
    <xf numFmtId="195" fontId="5" fillId="0" borderId="5" xfId="0" applyNumberFormat="1" applyFont="1" applyBorder="1" applyAlignment="1">
      <alignment vertical="distributed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9" fontId="1" fillId="0" borderId="64" xfId="0" applyNumberFormat="1" applyFont="1" applyBorder="1" applyAlignment="1">
      <alignment vertical="center"/>
    </xf>
    <xf numFmtId="9" fontId="1" fillId="0" borderId="65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9" fontId="1" fillId="0" borderId="3" xfId="0" applyNumberFormat="1" applyFont="1" applyBorder="1" applyAlignment="1">
      <alignment vertical="center"/>
    </xf>
    <xf numFmtId="0" fontId="1" fillId="0" borderId="52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53" xfId="0" applyBorder="1" applyAlignment="1">
      <alignment vertical="center"/>
    </xf>
    <xf numFmtId="9" fontId="1" fillId="0" borderId="51" xfId="0" applyNumberFormat="1" applyFont="1" applyBorder="1" applyAlignment="1">
      <alignment vertical="center"/>
    </xf>
    <xf numFmtId="9" fontId="1" fillId="0" borderId="50" xfId="0" applyNumberFormat="1" applyFont="1" applyBorder="1" applyAlignment="1">
      <alignment vertical="center"/>
    </xf>
    <xf numFmtId="9" fontId="1" fillId="0" borderId="54" xfId="0" applyNumberFormat="1" applyFont="1" applyBorder="1" applyAlignment="1">
      <alignment vertical="center"/>
    </xf>
    <xf numFmtId="9" fontId="1" fillId="0" borderId="16" xfId="0" applyNumberFormat="1" applyFont="1" applyBorder="1" applyAlignment="1">
      <alignment vertical="center"/>
    </xf>
    <xf numFmtId="9" fontId="1" fillId="0" borderId="43" xfId="0" applyNumberFormat="1" applyFont="1" applyBorder="1" applyAlignment="1">
      <alignment vertical="center"/>
    </xf>
    <xf numFmtId="195" fontId="49" fillId="0" borderId="17" xfId="0" applyNumberFormat="1" applyFont="1" applyBorder="1" applyAlignment="1">
      <alignment vertical="top" wrapText="1"/>
    </xf>
    <xf numFmtId="195" fontId="4" fillId="0" borderId="2" xfId="0" applyNumberFormat="1" applyFont="1" applyFill="1" applyBorder="1" applyAlignment="1">
      <alignment vertical="top" wrapText="1"/>
    </xf>
    <xf numFmtId="195" fontId="4" fillId="2" borderId="27" xfId="0" applyNumberFormat="1" applyFont="1" applyFill="1" applyBorder="1" applyAlignment="1">
      <alignment vertical="top" wrapText="1"/>
    </xf>
    <xf numFmtId="195" fontId="4" fillId="0" borderId="48" xfId="0" applyNumberFormat="1" applyFont="1" applyBorder="1" applyAlignment="1">
      <alignment vertical="top" wrapText="1"/>
    </xf>
    <xf numFmtId="195" fontId="4" fillId="0" borderId="34" xfId="0" applyNumberFormat="1" applyFont="1" applyFill="1" applyBorder="1" applyAlignment="1">
      <alignment vertical="top" wrapText="1"/>
    </xf>
    <xf numFmtId="195" fontId="4" fillId="2" borderId="7" xfId="0" applyNumberFormat="1" applyFont="1" applyFill="1" applyBorder="1" applyAlignment="1">
      <alignment vertical="top" wrapText="1"/>
    </xf>
    <xf numFmtId="195" fontId="4" fillId="0" borderId="38" xfId="0" applyNumberFormat="1" applyFont="1" applyBorder="1" applyAlignment="1">
      <alignment vertical="top" wrapText="1"/>
    </xf>
    <xf numFmtId="0" fontId="5" fillId="2" borderId="4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0" fontId="26" fillId="2" borderId="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195" fontId="38" fillId="0" borderId="12" xfId="0" applyNumberFormat="1" applyFont="1" applyBorder="1" applyAlignment="1">
      <alignment vertical="center"/>
    </xf>
    <xf numFmtId="195" fontId="38" fillId="0" borderId="8" xfId="0" applyNumberFormat="1" applyFont="1" applyBorder="1" applyAlignment="1">
      <alignment vertical="center"/>
    </xf>
    <xf numFmtId="195" fontId="38" fillId="0" borderId="5" xfId="0" applyNumberFormat="1" applyFont="1" applyBorder="1" applyAlignment="1">
      <alignment vertical="center"/>
    </xf>
    <xf numFmtId="195" fontId="40" fillId="0" borderId="12" xfId="0" applyNumberFormat="1" applyFont="1" applyBorder="1" applyAlignment="1">
      <alignment vertical="center"/>
    </xf>
    <xf numFmtId="195" fontId="40" fillId="0" borderId="8" xfId="0" applyNumberFormat="1" applyFont="1" applyBorder="1" applyAlignment="1">
      <alignment vertical="center"/>
    </xf>
    <xf numFmtId="195" fontId="40" fillId="0" borderId="17" xfId="0" applyNumberFormat="1" applyFont="1" applyBorder="1" applyAlignment="1">
      <alignment vertical="center"/>
    </xf>
    <xf numFmtId="195" fontId="38" fillId="0" borderId="0" xfId="0" applyNumberFormat="1" applyFont="1" applyBorder="1" applyAlignment="1">
      <alignment vertical="center"/>
    </xf>
    <xf numFmtId="195" fontId="1" fillId="0" borderId="27" xfId="0" applyNumberFormat="1" applyFont="1" applyFill="1" applyBorder="1" applyAlignment="1">
      <alignment vertical="center"/>
    </xf>
    <xf numFmtId="195" fontId="38" fillId="0" borderId="13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192" fontId="0" fillId="0" borderId="27" xfId="0" applyNumberFormat="1" applyBorder="1" applyAlignment="1">
      <alignment vertical="center"/>
    </xf>
    <xf numFmtId="192" fontId="1" fillId="2" borderId="5" xfId="0" applyNumberFormat="1" applyFont="1" applyFill="1" applyBorder="1" applyAlignment="1">
      <alignment vertical="center"/>
    </xf>
    <xf numFmtId="192" fontId="1" fillId="2" borderId="7" xfId="0" applyNumberFormat="1" applyFont="1" applyFill="1" applyBorder="1" applyAlignment="1">
      <alignment vertical="center"/>
    </xf>
    <xf numFmtId="0" fontId="47" fillId="0" borderId="7" xfId="0" applyFont="1" applyBorder="1" applyAlignment="1">
      <alignment vertical="center"/>
    </xf>
    <xf numFmtId="192" fontId="48" fillId="2" borderId="5" xfId="0" applyNumberFormat="1" applyFont="1" applyFill="1" applyBorder="1" applyAlignment="1">
      <alignment vertical="center"/>
    </xf>
    <xf numFmtId="192" fontId="47" fillId="0" borderId="27" xfId="0" applyNumberFormat="1" applyFont="1" applyFill="1" applyBorder="1" applyAlignment="1">
      <alignment vertical="center"/>
    </xf>
    <xf numFmtId="192" fontId="48" fillId="2" borderId="7" xfId="0" applyNumberFormat="1" applyFont="1" applyFill="1" applyBorder="1" applyAlignment="1">
      <alignment vertical="center"/>
    </xf>
    <xf numFmtId="192" fontId="48" fillId="2" borderId="13" xfId="0" applyNumberFormat="1" applyFont="1" applyFill="1" applyBorder="1" applyAlignment="1">
      <alignment vertical="center"/>
    </xf>
    <xf numFmtId="195" fontId="47" fillId="0" borderId="13" xfId="0" applyNumberFormat="1" applyFont="1" applyBorder="1" applyAlignment="1">
      <alignment vertical="center"/>
    </xf>
    <xf numFmtId="192" fontId="47" fillId="0" borderId="27" xfId="0" applyNumberFormat="1" applyFont="1" applyBorder="1" applyAlignment="1">
      <alignment vertical="center"/>
    </xf>
    <xf numFmtId="192" fontId="47" fillId="2" borderId="5" xfId="0" applyNumberFormat="1" applyFont="1" applyFill="1" applyBorder="1" applyAlignment="1">
      <alignment vertical="center"/>
    </xf>
    <xf numFmtId="192" fontId="47" fillId="2" borderId="7" xfId="0" applyNumberFormat="1" applyFont="1" applyFill="1" applyBorder="1" applyAlignment="1">
      <alignment vertical="center"/>
    </xf>
    <xf numFmtId="192" fontId="47" fillId="2" borderId="13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top" wrapText="1" indent="2"/>
    </xf>
    <xf numFmtId="0" fontId="0" fillId="0" borderId="44" xfId="0" applyBorder="1" applyAlignment="1">
      <alignment vertical="center"/>
    </xf>
    <xf numFmtId="9" fontId="1" fillId="2" borderId="59" xfId="0" applyNumberFormat="1" applyFont="1" applyFill="1" applyBorder="1" applyAlignment="1">
      <alignment vertical="center"/>
    </xf>
    <xf numFmtId="9" fontId="1" fillId="2" borderId="19" xfId="0" applyNumberFormat="1" applyFont="1" applyFill="1" applyBorder="1" applyAlignment="1">
      <alignment vertical="center"/>
    </xf>
    <xf numFmtId="192" fontId="0" fillId="2" borderId="13" xfId="0" applyNumberFormat="1" applyFill="1" applyBorder="1" applyAlignment="1">
      <alignment vertical="center"/>
    </xf>
    <xf numFmtId="9" fontId="1" fillId="2" borderId="17" xfId="0" applyNumberFormat="1" applyFont="1" applyFill="1" applyBorder="1" applyAlignment="1">
      <alignment vertical="center"/>
    </xf>
    <xf numFmtId="192" fontId="0" fillId="2" borderId="5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1" fontId="1" fillId="0" borderId="0" xfId="20" applyNumberFormat="1" applyFont="1">
      <alignment/>
    </xf>
    <xf numFmtId="9" fontId="0" fillId="0" borderId="0" xfId="0" applyNumberFormat="1" applyAlignment="1">
      <alignment vertical="center"/>
    </xf>
    <xf numFmtId="195" fontId="5" fillId="0" borderId="0" xfId="0" applyNumberFormat="1" applyFont="1" applyBorder="1" applyAlignment="1">
      <alignment vertical="distributed" wrapText="1"/>
    </xf>
    <xf numFmtId="195" fontId="4" fillId="0" borderId="0" xfId="0" applyNumberFormat="1" applyFont="1" applyBorder="1" applyAlignment="1">
      <alignment vertical="distributed" wrapText="1"/>
    </xf>
    <xf numFmtId="192" fontId="45" fillId="0" borderId="34" xfId="0" applyNumberFormat="1" applyFont="1" applyBorder="1" applyAlignment="1">
      <alignment vertical="distributed" wrapText="1"/>
    </xf>
    <xf numFmtId="195" fontId="4" fillId="0" borderId="27" xfId="0" applyNumberFormat="1" applyFont="1" applyBorder="1" applyAlignment="1">
      <alignment vertical="distributed" wrapText="1"/>
    </xf>
    <xf numFmtId="195" fontId="4" fillId="0" borderId="40" xfId="0" applyNumberFormat="1" applyFont="1" applyBorder="1" applyAlignment="1">
      <alignment vertical="distributed" wrapText="1"/>
    </xf>
    <xf numFmtId="195" fontId="4" fillId="0" borderId="1" xfId="0" applyNumberFormat="1" applyFont="1" applyBorder="1" applyAlignment="1">
      <alignment vertical="distributed" wrapText="1"/>
    </xf>
    <xf numFmtId="195" fontId="50" fillId="0" borderId="66" xfId="0" applyNumberFormat="1" applyFont="1" applyBorder="1" applyAlignment="1">
      <alignment vertical="distributed" wrapText="1"/>
    </xf>
    <xf numFmtId="195" fontId="50" fillId="0" borderId="4" xfId="0" applyNumberFormat="1" applyFont="1" applyBorder="1" applyAlignment="1">
      <alignment vertical="distributed" wrapText="1"/>
    </xf>
    <xf numFmtId="195" fontId="7" fillId="0" borderId="4" xfId="0" applyNumberFormat="1" applyFont="1" applyBorder="1" applyAlignment="1">
      <alignment vertical="distributed" wrapText="1"/>
    </xf>
    <xf numFmtId="195" fontId="7" fillId="0" borderId="67" xfId="0" applyNumberFormat="1" applyFont="1" applyBorder="1" applyAlignment="1">
      <alignment vertical="distributed" wrapText="1"/>
    </xf>
    <xf numFmtId="0" fontId="0" fillId="0" borderId="0" xfId="0" applyFont="1" applyAlignment="1">
      <alignment vertical="distributed" wrapText="1"/>
    </xf>
    <xf numFmtId="0" fontId="7" fillId="0" borderId="34" xfId="0" applyFont="1" applyBorder="1" applyAlignment="1">
      <alignment vertical="distributed" wrapText="1"/>
    </xf>
    <xf numFmtId="195" fontId="50" fillId="0" borderId="39" xfId="0" applyNumberFormat="1" applyFont="1" applyBorder="1" applyAlignment="1">
      <alignment vertical="distributed" wrapText="1"/>
    </xf>
    <xf numFmtId="195" fontId="50" fillId="0" borderId="2" xfId="0" applyNumberFormat="1" applyFont="1" applyBorder="1" applyAlignment="1">
      <alignment vertical="distributed" wrapText="1"/>
    </xf>
    <xf numFmtId="195" fontId="7" fillId="0" borderId="2" xfId="0" applyNumberFormat="1" applyFont="1" applyBorder="1" applyAlignment="1">
      <alignment vertical="distributed" wrapText="1"/>
    </xf>
    <xf numFmtId="195" fontId="7" fillId="0" borderId="21" xfId="0" applyNumberFormat="1" applyFont="1" applyBorder="1" applyAlignment="1">
      <alignment vertical="distributed" wrapText="1"/>
    </xf>
    <xf numFmtId="195" fontId="7" fillId="0" borderId="34" xfId="0" applyNumberFormat="1" applyFont="1" applyBorder="1" applyAlignment="1">
      <alignment vertical="distributed" wrapText="1"/>
    </xf>
    <xf numFmtId="0" fontId="7" fillId="0" borderId="2" xfId="0" applyFont="1" applyBorder="1" applyAlignment="1">
      <alignment vertical="distributed" wrapText="1"/>
    </xf>
    <xf numFmtId="195" fontId="6" fillId="0" borderId="2" xfId="0" applyNumberFormat="1" applyFont="1" applyBorder="1" applyAlignment="1">
      <alignment vertical="distributed" wrapText="1"/>
    </xf>
    <xf numFmtId="192" fontId="7" fillId="0" borderId="2" xfId="0" applyNumberFormat="1" applyFont="1" applyBorder="1" applyAlignment="1">
      <alignment vertical="distributed" wrapText="1"/>
    </xf>
    <xf numFmtId="195" fontId="5" fillId="3" borderId="5" xfId="0" applyNumberFormat="1" applyFont="1" applyFill="1" applyBorder="1" applyAlignment="1">
      <alignment vertical="distributed" wrapText="1"/>
    </xf>
    <xf numFmtId="195" fontId="4" fillId="3" borderId="1" xfId="0" applyNumberFormat="1" applyFont="1" applyFill="1" applyBorder="1" applyAlignment="1">
      <alignment vertical="distributed" wrapText="1"/>
    </xf>
    <xf numFmtId="195" fontId="6" fillId="3" borderId="21" xfId="0" applyNumberFormat="1" applyFont="1" applyFill="1" applyBorder="1" applyAlignment="1">
      <alignment vertical="distributed" wrapText="1"/>
    </xf>
    <xf numFmtId="195" fontId="6" fillId="0" borderId="20" xfId="0" applyNumberFormat="1" applyFont="1" applyFill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195" fontId="6" fillId="0" borderId="34" xfId="0" applyNumberFormat="1" applyFont="1" applyBorder="1" applyAlignment="1">
      <alignment vertical="distributed" wrapText="1"/>
    </xf>
    <xf numFmtId="192" fontId="7" fillId="0" borderId="34" xfId="0" applyNumberFormat="1" applyFont="1" applyBorder="1" applyAlignment="1">
      <alignment vertical="distributed" wrapText="1"/>
    </xf>
    <xf numFmtId="195" fontId="7" fillId="0" borderId="39" xfId="0" applyNumberFormat="1" applyFont="1" applyBorder="1" applyAlignment="1">
      <alignment vertical="distributed" wrapText="1"/>
    </xf>
    <xf numFmtId="195" fontId="7" fillId="0" borderId="17" xfId="0" applyNumberFormat="1" applyFont="1" applyBorder="1" applyAlignment="1">
      <alignment vertical="distributed" wrapText="1"/>
    </xf>
    <xf numFmtId="195" fontId="1" fillId="0" borderId="0" xfId="0" applyNumberFormat="1" applyFont="1" applyBorder="1" applyAlignment="1">
      <alignment vertical="center"/>
    </xf>
    <xf numFmtId="195" fontId="0" fillId="0" borderId="0" xfId="0" applyNumberFormat="1" applyBorder="1" applyAlignment="1">
      <alignment vertical="center"/>
    </xf>
    <xf numFmtId="195" fontId="51" fillId="0" borderId="11" xfId="0" applyNumberFormat="1" applyFont="1" applyBorder="1" applyAlignment="1">
      <alignment wrapText="1"/>
    </xf>
    <xf numFmtId="195" fontId="46" fillId="0" borderId="11" xfId="0" applyNumberFormat="1" applyFont="1" applyBorder="1" applyAlignment="1">
      <alignment wrapText="1"/>
    </xf>
    <xf numFmtId="195" fontId="7" fillId="0" borderId="2" xfId="0" applyNumberFormat="1" applyFont="1" applyFill="1" applyBorder="1" applyAlignment="1">
      <alignment vertical="distributed" wrapText="1"/>
    </xf>
    <xf numFmtId="0" fontId="0" fillId="0" borderId="0" xfId="0" applyFont="1" applyFill="1" applyAlignment="1">
      <alignment vertical="distributed" wrapText="1"/>
    </xf>
    <xf numFmtId="3" fontId="4" fillId="0" borderId="11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195" fontId="5" fillId="0" borderId="0" xfId="0" applyNumberFormat="1" applyFont="1" applyFill="1" applyBorder="1" applyAlignment="1">
      <alignment vertical="distributed" wrapText="1"/>
    </xf>
    <xf numFmtId="0" fontId="1" fillId="0" borderId="0" xfId="0" applyFont="1" applyBorder="1" applyAlignment="1">
      <alignment vertical="distributed" wrapText="1"/>
    </xf>
    <xf numFmtId="195" fontId="7" fillId="0" borderId="0" xfId="0" applyNumberFormat="1" applyFont="1" applyBorder="1" applyAlignment="1">
      <alignment vertical="distributed" wrapText="1"/>
    </xf>
    <xf numFmtId="195" fontId="7" fillId="0" borderId="45" xfId="0" applyNumberFormat="1" applyFont="1" applyBorder="1" applyAlignment="1">
      <alignment vertical="distributed" wrapText="1"/>
    </xf>
    <xf numFmtId="0" fontId="5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52" fillId="4" borderId="0" xfId="0" applyFont="1" applyFill="1" applyAlignment="1">
      <alignment vertical="center"/>
    </xf>
    <xf numFmtId="195" fontId="53" fillId="0" borderId="12" xfId="0" applyNumberFormat="1" applyFont="1" applyBorder="1" applyAlignment="1">
      <alignment vertical="top" wrapText="1"/>
    </xf>
    <xf numFmtId="195" fontId="4" fillId="0" borderId="56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34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195" fontId="4" fillId="2" borderId="13" xfId="0" applyNumberFormat="1" applyFont="1" applyFill="1" applyBorder="1" applyAlignment="1">
      <alignment vertical="top" wrapText="1"/>
    </xf>
    <xf numFmtId="195" fontId="38" fillId="0" borderId="17" xfId="0" applyNumberFormat="1" applyFont="1" applyBorder="1" applyAlignment="1">
      <alignment vertical="center" wrapText="1"/>
    </xf>
    <xf numFmtId="192" fontId="7" fillId="0" borderId="66" xfId="0" applyNumberFormat="1" applyFont="1" applyFill="1" applyBorder="1" applyAlignment="1">
      <alignment vertical="distributed" wrapText="1"/>
    </xf>
    <xf numFmtId="0" fontId="4" fillId="0" borderId="0" xfId="0" applyFont="1" applyBorder="1" applyAlignment="1">
      <alignment vertical="center" wrapText="1"/>
    </xf>
    <xf numFmtId="192" fontId="45" fillId="0" borderId="0" xfId="0" applyNumberFormat="1" applyFon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5" fillId="0" borderId="59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195" fontId="0" fillId="0" borderId="56" xfId="0" applyNumberFormat="1" applyBorder="1" applyAlignment="1">
      <alignment vertical="center"/>
    </xf>
    <xf numFmtId="192" fontId="45" fillId="0" borderId="38" xfId="0" applyNumberFormat="1" applyFont="1" applyBorder="1" applyAlignment="1">
      <alignment vertical="center"/>
    </xf>
    <xf numFmtId="192" fontId="45" fillId="0" borderId="56" xfId="0" applyNumberFormat="1" applyFont="1" applyBorder="1" applyAlignment="1">
      <alignment vertical="center"/>
    </xf>
    <xf numFmtId="192" fontId="45" fillId="0" borderId="39" xfId="0" applyNumberFormat="1" applyFont="1" applyBorder="1" applyAlignment="1">
      <alignment vertical="center"/>
    </xf>
    <xf numFmtId="192" fontId="45" fillId="0" borderId="31" xfId="0" applyNumberFormat="1" applyFont="1" applyBorder="1" applyAlignment="1">
      <alignment vertical="center"/>
    </xf>
    <xf numFmtId="195" fontId="0" fillId="0" borderId="17" xfId="0" applyNumberFormat="1" applyBorder="1" applyAlignment="1">
      <alignment vertical="center"/>
    </xf>
    <xf numFmtId="195" fontId="0" fillId="0" borderId="22" xfId="0" applyNumberFormat="1" applyBorder="1" applyAlignment="1">
      <alignment vertical="center"/>
    </xf>
    <xf numFmtId="192" fontId="39" fillId="0" borderId="21" xfId="0" applyNumberFormat="1" applyFont="1" applyBorder="1" applyAlignment="1">
      <alignment horizontal="left" vertical="center"/>
    </xf>
    <xf numFmtId="192" fontId="45" fillId="0" borderId="24" xfId="0" applyNumberFormat="1" applyFont="1" applyBorder="1" applyAlignment="1">
      <alignment vertical="center"/>
    </xf>
    <xf numFmtId="192" fontId="39" fillId="0" borderId="24" xfId="0" applyNumberFormat="1" applyFont="1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92" fontId="7" fillId="0" borderId="3" xfId="0" applyNumberFormat="1" applyFont="1" applyBorder="1" applyAlignment="1">
      <alignment horizontal="center"/>
    </xf>
    <xf numFmtId="192" fontId="54" fillId="0" borderId="3" xfId="0" applyNumberFormat="1" applyFont="1" applyBorder="1" applyAlignment="1">
      <alignment horizontal="center"/>
    </xf>
    <xf numFmtId="192" fontId="15" fillId="0" borderId="0" xfId="0" applyNumberFormat="1" applyFont="1" applyAlignment="1">
      <alignment horizontal="left"/>
    </xf>
    <xf numFmtId="192" fontId="15" fillId="0" borderId="0" xfId="0" applyNumberFormat="1" applyFont="1" applyAlignment="1">
      <alignment horizontal="center"/>
    </xf>
    <xf numFmtId="192" fontId="15" fillId="0" borderId="0" xfId="0" applyNumberFormat="1" applyFont="1" applyAlignment="1">
      <alignment horizontal="right" shrinkToFit="1"/>
    </xf>
    <xf numFmtId="192" fontId="7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left"/>
    </xf>
    <xf numFmtId="192" fontId="7" fillId="0" borderId="0" xfId="0" applyNumberFormat="1" applyFont="1" applyBorder="1" applyAlignment="1">
      <alignment horizontal="center"/>
    </xf>
    <xf numFmtId="192" fontId="7" fillId="0" borderId="0" xfId="0" applyNumberFormat="1" applyFont="1" applyAlignment="1">
      <alignment horizontal="right" shrinkToFit="1"/>
    </xf>
    <xf numFmtId="192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left"/>
    </xf>
    <xf numFmtId="192" fontId="6" fillId="0" borderId="0" xfId="0" applyNumberFormat="1" applyFont="1" applyBorder="1" applyAlignment="1">
      <alignment horizontal="center"/>
    </xf>
    <xf numFmtId="192" fontId="6" fillId="0" borderId="0" xfId="0" applyNumberFormat="1" applyFont="1" applyAlignment="1">
      <alignment horizontal="right" shrinkToFit="1"/>
    </xf>
    <xf numFmtId="192" fontId="6" fillId="0" borderId="1" xfId="0" applyNumberFormat="1" applyFont="1" applyBorder="1" applyAlignment="1">
      <alignment horizontal="left"/>
    </xf>
    <xf numFmtId="192" fontId="6" fillId="0" borderId="35" xfId="0" applyNumberFormat="1" applyFont="1" applyBorder="1" applyAlignment="1">
      <alignment horizontal="center"/>
    </xf>
    <xf numFmtId="192" fontId="6" fillId="0" borderId="5" xfId="0" applyNumberFormat="1" applyFont="1" applyBorder="1" applyAlignment="1">
      <alignment horizontal="center"/>
    </xf>
    <xf numFmtId="192" fontId="7" fillId="0" borderId="2" xfId="0" applyNumberFormat="1" applyFont="1" applyBorder="1" applyAlignment="1">
      <alignment horizontal="center"/>
    </xf>
    <xf numFmtId="192" fontId="7" fillId="0" borderId="2" xfId="0" applyNumberFormat="1" applyFont="1" applyBorder="1" applyAlignment="1">
      <alignment horizontal="left"/>
    </xf>
    <xf numFmtId="192" fontId="7" fillId="0" borderId="3" xfId="20" applyNumberFormat="1" applyFont="1" applyBorder="1">
      <alignment/>
    </xf>
    <xf numFmtId="192" fontId="7" fillId="0" borderId="0" xfId="20" applyNumberFormat="1" applyFont="1" applyBorder="1" applyAlignment="1">
      <alignment horizontal="center"/>
    </xf>
    <xf numFmtId="192" fontId="7" fillId="0" borderId="3" xfId="0" applyNumberFormat="1" applyFont="1" applyBorder="1" applyAlignment="1">
      <alignment horizontal="right" shrinkToFit="1"/>
    </xf>
    <xf numFmtId="192" fontId="7" fillId="0" borderId="3" xfId="0" applyNumberFormat="1" applyFont="1" applyBorder="1" applyAlignment="1">
      <alignment shrinkToFit="1"/>
    </xf>
    <xf numFmtId="192" fontId="7" fillId="0" borderId="2" xfId="20" applyNumberFormat="1" applyFont="1" applyBorder="1" applyAlignment="1">
      <alignment horizontal="right"/>
    </xf>
    <xf numFmtId="192" fontId="7" fillId="0" borderId="2" xfId="0" applyNumberFormat="1" applyFont="1" applyBorder="1" applyAlignment="1">
      <alignment horizontal="right" shrinkToFit="1"/>
    </xf>
    <xf numFmtId="192" fontId="7" fillId="0" borderId="0" xfId="0" applyNumberFormat="1" applyFont="1" applyBorder="1" applyAlignment="1">
      <alignment horizontal="left"/>
    </xf>
    <xf numFmtId="192" fontId="7" fillId="0" borderId="0" xfId="0" applyNumberFormat="1" applyFont="1" applyBorder="1" applyAlignment="1">
      <alignment horizontal="right" shrinkToFit="1"/>
    </xf>
    <xf numFmtId="192" fontId="7" fillId="0" borderId="0" xfId="20" applyNumberFormat="1" applyFont="1" applyBorder="1" applyAlignment="1">
      <alignment horizontal="left"/>
    </xf>
    <xf numFmtId="192" fontId="7" fillId="0" borderId="0" xfId="20" applyNumberFormat="1" applyFont="1" applyBorder="1" applyAlignment="1">
      <alignment horizontal="left" shrinkToFit="1"/>
    </xf>
    <xf numFmtId="192" fontId="12" fillId="0" borderId="0" xfId="0" applyNumberFormat="1" applyFont="1" applyBorder="1" applyAlignment="1">
      <alignment horizontal="center"/>
    </xf>
    <xf numFmtId="192" fontId="12" fillId="0" borderId="0" xfId="0" applyNumberFormat="1" applyFont="1" applyBorder="1" applyAlignment="1">
      <alignment horizontal="left"/>
    </xf>
    <xf numFmtId="192" fontId="9" fillId="0" borderId="0" xfId="20" applyNumberFormat="1" applyFont="1" applyBorder="1" applyAlignment="1">
      <alignment horizontal="right"/>
    </xf>
    <xf numFmtId="192" fontId="9" fillId="0" borderId="0" xfId="20" applyNumberFormat="1" applyFont="1" applyBorder="1" applyAlignment="1">
      <alignment horizontal="center"/>
    </xf>
    <xf numFmtId="192" fontId="12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justify"/>
    </xf>
    <xf numFmtId="192" fontId="7" fillId="0" borderId="0" xfId="20" applyNumberFormat="1" applyFont="1" applyBorder="1">
      <alignment/>
    </xf>
    <xf numFmtId="192" fontId="6" fillId="0" borderId="0" xfId="0" applyNumberFormat="1" applyFont="1" applyBorder="1" applyAlignment="1">
      <alignment horizontal="right" shrinkToFit="1"/>
    </xf>
    <xf numFmtId="192" fontId="6" fillId="0" borderId="40" xfId="0" applyNumberFormat="1" applyFont="1" applyBorder="1" applyAlignment="1">
      <alignment horizontal="left"/>
    </xf>
    <xf numFmtId="192" fontId="55" fillId="0" borderId="35" xfId="0" applyNumberFormat="1" applyFont="1" applyBorder="1" applyAlignment="1">
      <alignment horizontal="center"/>
    </xf>
    <xf numFmtId="192" fontId="55" fillId="0" borderId="5" xfId="0" applyNumberFormat="1" applyFont="1" applyBorder="1" applyAlignment="1">
      <alignment horizontal="center"/>
    </xf>
    <xf numFmtId="192" fontId="7" fillId="0" borderId="3" xfId="0" applyNumberFormat="1" applyFont="1" applyBorder="1" applyAlignment="1">
      <alignment horizontal="left"/>
    </xf>
    <xf numFmtId="192" fontId="7" fillId="0" borderId="66" xfId="0" applyNumberFormat="1" applyFont="1" applyBorder="1" applyAlignment="1">
      <alignment horizontal="center" shrinkToFit="1"/>
    </xf>
    <xf numFmtId="192" fontId="6" fillId="0" borderId="4" xfId="0" applyNumberFormat="1" applyFont="1" applyBorder="1" applyAlignment="1">
      <alignment horizontal="center" shrinkToFit="1"/>
    </xf>
    <xf numFmtId="192" fontId="7" fillId="0" borderId="4" xfId="0" applyNumberFormat="1" applyFont="1" applyBorder="1" applyAlignment="1">
      <alignment horizontal="left"/>
    </xf>
    <xf numFmtId="192" fontId="7" fillId="0" borderId="0" xfId="2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left" vertical="top" wrapText="1"/>
    </xf>
    <xf numFmtId="192" fontId="7" fillId="0" borderId="2" xfId="0" applyNumberFormat="1" applyFont="1" applyBorder="1" applyAlignment="1">
      <alignment vertical="top" wrapText="1" shrinkToFit="1"/>
    </xf>
    <xf numFmtId="192" fontId="7" fillId="0" borderId="0" xfId="0" applyNumberFormat="1" applyFont="1" applyBorder="1" applyAlignment="1">
      <alignment horizontal="right" vertical="center" shrinkToFit="1"/>
    </xf>
    <xf numFmtId="192" fontId="7" fillId="0" borderId="0" xfId="0" applyNumberFormat="1" applyFont="1" applyAlignment="1">
      <alignment vertical="top" wrapText="1" shrinkToFit="1"/>
    </xf>
    <xf numFmtId="192" fontId="7" fillId="0" borderId="2" xfId="0" applyNumberFormat="1" applyFont="1" applyBorder="1" applyAlignment="1">
      <alignment vertical="top" wrapText="1"/>
    </xf>
    <xf numFmtId="192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left" vertical="top" wrapText="1"/>
    </xf>
    <xf numFmtId="192" fontId="8" fillId="0" borderId="0" xfId="0" applyNumberFormat="1" applyFont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left"/>
    </xf>
    <xf numFmtId="192" fontId="17" fillId="0" borderId="0" xfId="0" applyNumberFormat="1" applyFont="1" applyAlignment="1">
      <alignment horizontal="right"/>
    </xf>
    <xf numFmtId="192" fontId="7" fillId="0" borderId="0" xfId="20" applyNumberFormat="1" applyFont="1">
      <alignment/>
    </xf>
    <xf numFmtId="192" fontId="6" fillId="0" borderId="1" xfId="0" applyNumberFormat="1" applyFont="1" applyBorder="1" applyAlignment="1">
      <alignment horizontal="left" vertical="top" wrapText="1"/>
    </xf>
    <xf numFmtId="192" fontId="7" fillId="0" borderId="3" xfId="0" applyNumberFormat="1" applyFont="1" applyBorder="1" applyAlignment="1">
      <alignment horizontal="left" vertical="top" wrapText="1"/>
    </xf>
    <xf numFmtId="192" fontId="7" fillId="0" borderId="3" xfId="0" applyNumberFormat="1" applyFont="1" applyBorder="1" applyAlignment="1">
      <alignment horizontal="right" vertical="top" wrapText="1"/>
    </xf>
    <xf numFmtId="192" fontId="7" fillId="0" borderId="2" xfId="0" applyNumberFormat="1" applyFont="1" applyBorder="1" applyAlignment="1">
      <alignment horizontal="right" vertical="top" wrapText="1"/>
    </xf>
    <xf numFmtId="192" fontId="7" fillId="0" borderId="46" xfId="0" applyNumberFormat="1" applyFont="1" applyBorder="1" applyAlignment="1">
      <alignment horizontal="right" shrinkToFit="1"/>
    </xf>
    <xf numFmtId="192" fontId="7" fillId="0" borderId="60" xfId="0" applyNumberFormat="1" applyFont="1" applyBorder="1" applyAlignment="1">
      <alignment horizontal="right" shrinkToFit="1"/>
    </xf>
    <xf numFmtId="192" fontId="7" fillId="0" borderId="33" xfId="0" applyNumberFormat="1" applyFont="1" applyBorder="1" applyAlignment="1">
      <alignment horizontal="right" shrinkToFit="1"/>
    </xf>
    <xf numFmtId="192" fontId="7" fillId="0" borderId="0" xfId="20" applyNumberFormat="1" applyFont="1" applyAlignment="1">
      <alignment horizontal="center"/>
    </xf>
    <xf numFmtId="192" fontId="7" fillId="0" borderId="0" xfId="0" applyNumberFormat="1" applyFont="1" applyFill="1" applyBorder="1" applyAlignment="1">
      <alignment horizontal="left" vertical="top" wrapText="1"/>
    </xf>
    <xf numFmtId="192" fontId="7" fillId="0" borderId="2" xfId="20" applyNumberFormat="1" applyFont="1" applyBorder="1" applyAlignment="1">
      <alignment horizontal="right" vertical="center"/>
    </xf>
    <xf numFmtId="192" fontId="7" fillId="0" borderId="0" xfId="0" applyNumberFormat="1" applyFont="1" applyAlignment="1">
      <alignment horizontal="center" shrinkToFit="1"/>
    </xf>
    <xf numFmtId="192" fontId="9" fillId="0" borderId="0" xfId="0" applyNumberFormat="1" applyFont="1" applyFill="1" applyBorder="1" applyAlignment="1">
      <alignment horizontal="left" vertical="top" wrapText="1"/>
    </xf>
    <xf numFmtId="192" fontId="9" fillId="0" borderId="0" xfId="0" applyNumberFormat="1" applyFont="1" applyAlignment="1">
      <alignment horizontal="right"/>
    </xf>
    <xf numFmtId="192" fontId="9" fillId="0" borderId="0" xfId="0" applyNumberFormat="1" applyFont="1" applyBorder="1" applyAlignment="1">
      <alignment horizontal="center"/>
    </xf>
    <xf numFmtId="192" fontId="9" fillId="0" borderId="0" xfId="0" applyNumberFormat="1" applyFont="1" applyAlignment="1">
      <alignment horizontal="center"/>
    </xf>
    <xf numFmtId="192" fontId="10" fillId="0" borderId="0" xfId="0" applyNumberFormat="1" applyFont="1" applyBorder="1" applyAlignment="1">
      <alignment horizontal="right" shrinkToFit="1"/>
    </xf>
    <xf numFmtId="192" fontId="7" fillId="0" borderId="0" xfId="0" applyNumberFormat="1" applyFont="1" applyBorder="1" applyAlignment="1">
      <alignment horizontal="left" shrinkToFit="1"/>
    </xf>
    <xf numFmtId="192" fontId="7" fillId="0" borderId="0" xfId="0" applyNumberFormat="1" applyFont="1" applyAlignment="1">
      <alignment horizontal="left" shrinkToFit="1"/>
    </xf>
    <xf numFmtId="192" fontId="9" fillId="0" borderId="0" xfId="0" applyNumberFormat="1" applyFont="1" applyBorder="1" applyAlignment="1">
      <alignment horizontal="right" shrinkToFit="1"/>
    </xf>
    <xf numFmtId="192" fontId="9" fillId="0" borderId="0" xfId="0" applyNumberFormat="1" applyFont="1" applyAlignment="1">
      <alignment horizontal="right" shrinkToFit="1"/>
    </xf>
    <xf numFmtId="192" fontId="18" fillId="0" borderId="0" xfId="0" applyNumberFormat="1" applyFont="1" applyAlignment="1">
      <alignment horizontal="center"/>
    </xf>
    <xf numFmtId="192" fontId="13" fillId="0" borderId="0" xfId="0" applyNumberFormat="1" applyFont="1" applyAlignment="1">
      <alignment horizontal="center"/>
    </xf>
    <xf numFmtId="192" fontId="11" fillId="0" borderId="0" xfId="0" applyNumberFormat="1" applyFont="1" applyAlignment="1">
      <alignment horizontal="center"/>
    </xf>
    <xf numFmtId="192" fontId="9" fillId="0" borderId="0" xfId="20" applyNumberFormat="1" applyFont="1" applyAlignment="1">
      <alignment horizontal="center"/>
    </xf>
    <xf numFmtId="192" fontId="9" fillId="0" borderId="0" xfId="0" applyNumberFormat="1" applyFont="1" applyAlignment="1">
      <alignment horizontal="left"/>
    </xf>
    <xf numFmtId="192" fontId="10" fillId="0" borderId="0" xfId="0" applyNumberFormat="1" applyFont="1" applyAlignment="1">
      <alignment horizontal="center"/>
    </xf>
    <xf numFmtId="192" fontId="10" fillId="0" borderId="0" xfId="0" applyNumberFormat="1" applyFont="1" applyBorder="1" applyAlignment="1">
      <alignment horizontal="center"/>
    </xf>
    <xf numFmtId="192" fontId="10" fillId="0" borderId="2" xfId="20" applyNumberFormat="1" applyFont="1" applyBorder="1">
      <alignment/>
    </xf>
    <xf numFmtId="1" fontId="15" fillId="0" borderId="0" xfId="0" applyNumberFormat="1" applyFont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1" fontId="6" fillId="0" borderId="0" xfId="0" applyNumberFormat="1" applyFont="1" applyBorder="1" applyAlignment="1">
      <alignment horizontal="right" shrinkToFit="1"/>
    </xf>
    <xf numFmtId="1" fontId="12" fillId="0" borderId="0" xfId="0" applyNumberFormat="1" applyFont="1" applyAlignment="1">
      <alignment horizontal="right" shrinkToFit="1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 shrinkToFit="1"/>
    </xf>
    <xf numFmtId="2" fontId="7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7" fillId="0" borderId="2" xfId="0" applyNumberFormat="1" applyFont="1" applyBorder="1" applyAlignment="1">
      <alignment horizontal="center" vertical="top" wrapText="1" shrinkToFit="1"/>
    </xf>
    <xf numFmtId="1" fontId="19" fillId="0" borderId="0" xfId="0" applyNumberFormat="1" applyFont="1" applyAlignment="1">
      <alignment horizontal="right"/>
    </xf>
    <xf numFmtId="192" fontId="56" fillId="0" borderId="5" xfId="0" applyNumberFormat="1" applyFont="1" applyBorder="1" applyAlignment="1">
      <alignment horizontal="center"/>
    </xf>
    <xf numFmtId="192" fontId="7" fillId="0" borderId="56" xfId="0" applyNumberFormat="1" applyFont="1" applyBorder="1" applyAlignment="1">
      <alignment horizontal="right" shrinkToFit="1"/>
    </xf>
    <xf numFmtId="192" fontId="7" fillId="0" borderId="38" xfId="0" applyNumberFormat="1" applyFont="1" applyBorder="1" applyAlignment="1">
      <alignment horizontal="right" shrinkToFit="1"/>
    </xf>
    <xf numFmtId="192" fontId="6" fillId="5" borderId="2" xfId="0" applyNumberFormat="1" applyFont="1" applyFill="1" applyBorder="1" applyAlignment="1">
      <alignment horizontal="right" shrinkToFit="1"/>
    </xf>
    <xf numFmtId="192" fontId="6" fillId="5" borderId="0" xfId="0" applyNumberFormat="1" applyFont="1" applyFill="1" applyBorder="1" applyAlignment="1">
      <alignment horizontal="right" shrinkToFit="1"/>
    </xf>
    <xf numFmtId="192" fontId="6" fillId="0" borderId="0" xfId="0" applyNumberFormat="1" applyFont="1" applyFill="1" applyBorder="1" applyAlignment="1">
      <alignment horizontal="right" shrinkToFit="1"/>
    </xf>
    <xf numFmtId="192" fontId="16" fillId="3" borderId="7" xfId="0" applyNumberFormat="1" applyFont="1" applyFill="1" applyBorder="1" applyAlignment="1">
      <alignment horizontal="center"/>
    </xf>
    <xf numFmtId="192" fontId="58" fillId="0" borderId="0" xfId="0" applyNumberFormat="1" applyFont="1" applyAlignment="1">
      <alignment horizontal="center"/>
    </xf>
    <xf numFmtId="192" fontId="54" fillId="0" borderId="0" xfId="0" applyNumberFormat="1" applyFont="1" applyAlignment="1">
      <alignment horizontal="center"/>
    </xf>
    <xf numFmtId="192" fontId="55" fillId="0" borderId="0" xfId="0" applyNumberFormat="1" applyFont="1" applyAlignment="1">
      <alignment horizontal="center"/>
    </xf>
    <xf numFmtId="192" fontId="54" fillId="0" borderId="2" xfId="0" applyNumberFormat="1" applyFont="1" applyBorder="1" applyAlignment="1">
      <alignment horizontal="center"/>
    </xf>
    <xf numFmtId="192" fontId="54" fillId="0" borderId="0" xfId="0" applyNumberFormat="1" applyFont="1" applyBorder="1" applyAlignment="1">
      <alignment horizontal="center"/>
    </xf>
    <xf numFmtId="192" fontId="59" fillId="0" borderId="0" xfId="0" applyNumberFormat="1" applyFont="1" applyAlignment="1">
      <alignment/>
    </xf>
    <xf numFmtId="192" fontId="54" fillId="0" borderId="0" xfId="0" applyNumberFormat="1" applyFont="1" applyBorder="1" applyAlignment="1">
      <alignment horizontal="center" vertical="top" wrapText="1"/>
    </xf>
    <xf numFmtId="192" fontId="54" fillId="0" borderId="3" xfId="0" applyNumberFormat="1" applyFont="1" applyBorder="1" applyAlignment="1">
      <alignment horizontal="center" vertical="top" wrapText="1"/>
    </xf>
    <xf numFmtId="192" fontId="54" fillId="0" borderId="2" xfId="0" applyNumberFormat="1" applyFont="1" applyBorder="1" applyAlignment="1">
      <alignment horizontal="center" vertical="top" wrapText="1"/>
    </xf>
    <xf numFmtId="192" fontId="60" fillId="0" borderId="0" xfId="0" applyNumberFormat="1" applyFont="1" applyAlignment="1">
      <alignment horizontal="right"/>
    </xf>
    <xf numFmtId="192" fontId="61" fillId="0" borderId="0" xfId="0" applyNumberFormat="1" applyFont="1" applyAlignment="1">
      <alignment horizontal="center"/>
    </xf>
    <xf numFmtId="192" fontId="9" fillId="5" borderId="2" xfId="0" applyNumberFormat="1" applyFont="1" applyFill="1" applyBorder="1" applyAlignment="1">
      <alignment horizontal="center"/>
    </xf>
    <xf numFmtId="192" fontId="6" fillId="0" borderId="2" xfId="0" applyNumberFormat="1" applyFont="1" applyBorder="1" applyAlignment="1">
      <alignment horizontal="center"/>
    </xf>
    <xf numFmtId="192" fontId="5" fillId="0" borderId="0" xfId="0" applyNumberFormat="1" applyFont="1" applyAlignment="1">
      <alignment horizontal="justify"/>
    </xf>
    <xf numFmtId="192" fontId="5" fillId="0" borderId="0" xfId="0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left" vertical="top" wrapText="1"/>
    </xf>
    <xf numFmtId="195" fontId="6" fillId="3" borderId="23" xfId="0" applyNumberFormat="1" applyFont="1" applyFill="1" applyBorder="1" applyAlignment="1">
      <alignment vertical="distributed" wrapText="1"/>
    </xf>
    <xf numFmtId="195" fontId="6" fillId="3" borderId="40" xfId="0" applyNumberFormat="1" applyFont="1" applyFill="1" applyBorder="1" applyAlignment="1">
      <alignment vertical="distributed" wrapText="1"/>
    </xf>
    <xf numFmtId="195" fontId="6" fillId="3" borderId="1" xfId="0" applyNumberFormat="1" applyFont="1" applyFill="1" applyBorder="1" applyAlignment="1">
      <alignment vertical="distributed" wrapText="1"/>
    </xf>
    <xf numFmtId="195" fontId="6" fillId="3" borderId="55" xfId="0" applyNumberFormat="1" applyFont="1" applyFill="1" applyBorder="1" applyAlignment="1">
      <alignment vertical="distributed" wrapText="1"/>
    </xf>
    <xf numFmtId="195" fontId="7" fillId="0" borderId="39" xfId="0" applyNumberFormat="1" applyFont="1" applyFill="1" applyBorder="1" applyAlignment="1">
      <alignment vertical="distributed" wrapText="1"/>
    </xf>
    <xf numFmtId="195" fontId="7" fillId="0" borderId="50" xfId="0" applyNumberFormat="1" applyFont="1" applyFill="1" applyBorder="1" applyAlignment="1">
      <alignment vertical="distributed" wrapText="1"/>
    </xf>
    <xf numFmtId="195" fontId="7" fillId="0" borderId="31" xfId="0" applyNumberFormat="1" applyFont="1" applyFill="1" applyBorder="1" applyAlignment="1">
      <alignment vertical="distributed" wrapText="1"/>
    </xf>
    <xf numFmtId="195" fontId="7" fillId="0" borderId="16" xfId="0" applyNumberFormat="1" applyFont="1" applyFill="1" applyBorder="1" applyAlignment="1">
      <alignment vertical="distributed" wrapText="1"/>
    </xf>
    <xf numFmtId="195" fontId="7" fillId="0" borderId="43" xfId="0" applyNumberFormat="1" applyFont="1" applyFill="1" applyBorder="1" applyAlignment="1">
      <alignment vertical="distributed" wrapText="1"/>
    </xf>
    <xf numFmtId="195" fontId="6" fillId="3" borderId="20" xfId="0" applyNumberFormat="1" applyFont="1" applyFill="1" applyBorder="1" applyAlignment="1">
      <alignment vertical="distributed" wrapText="1"/>
    </xf>
    <xf numFmtId="0" fontId="47" fillId="0" borderId="0" xfId="0" applyFont="1" applyBorder="1" applyAlignment="1">
      <alignment vertical="center" wrapText="1"/>
    </xf>
    <xf numFmtId="195" fontId="7" fillId="0" borderId="66" xfId="0" applyNumberFormat="1" applyFont="1" applyFill="1" applyBorder="1" applyAlignment="1">
      <alignment vertical="distributed" wrapText="1"/>
    </xf>
    <xf numFmtId="0" fontId="48" fillId="0" borderId="5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vertical="distributed" wrapText="1"/>
    </xf>
    <xf numFmtId="192" fontId="7" fillId="0" borderId="39" xfId="0" applyNumberFormat="1" applyFont="1" applyFill="1" applyBorder="1" applyAlignment="1">
      <alignment vertical="distributed" wrapText="1"/>
    </xf>
    <xf numFmtId="0" fontId="7" fillId="0" borderId="61" xfId="0" applyFont="1" applyBorder="1" applyAlignment="1">
      <alignment vertical="distributed" wrapText="1"/>
    </xf>
    <xf numFmtId="0" fontId="7" fillId="0" borderId="69" xfId="0" applyFont="1" applyBorder="1" applyAlignment="1">
      <alignment vertical="distributed" wrapText="1"/>
    </xf>
    <xf numFmtId="0" fontId="48" fillId="0" borderId="7" xfId="0" applyFont="1" applyBorder="1" applyAlignment="1">
      <alignment vertical="center" wrapText="1"/>
    </xf>
    <xf numFmtId="0" fontId="7" fillId="0" borderId="67" xfId="0" applyFont="1" applyBorder="1" applyAlignment="1">
      <alignment vertical="distributed" wrapText="1"/>
    </xf>
    <xf numFmtId="192" fontId="7" fillId="0" borderId="4" xfId="0" applyNumberFormat="1" applyFont="1" applyFill="1" applyBorder="1" applyAlignment="1">
      <alignment vertical="distributed" wrapText="1"/>
    </xf>
    <xf numFmtId="192" fontId="7" fillId="0" borderId="0" xfId="0" applyNumberFormat="1" applyFont="1" applyFill="1" applyBorder="1" applyAlignment="1">
      <alignment vertical="distributed" wrapText="1"/>
    </xf>
    <xf numFmtId="195" fontId="7" fillId="0" borderId="0" xfId="0" applyNumberFormat="1" applyFont="1" applyFill="1" applyBorder="1" applyAlignment="1">
      <alignment vertical="distributed" wrapText="1"/>
    </xf>
    <xf numFmtId="0" fontId="0" fillId="0" borderId="0" xfId="0" applyFill="1" applyAlignment="1">
      <alignment vertical="distributed" wrapText="1"/>
    </xf>
    <xf numFmtId="0" fontId="5" fillId="0" borderId="5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Fill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 wrapText="1"/>
    </xf>
    <xf numFmtId="0" fontId="5" fillId="0" borderId="7" xfId="0" applyFont="1" applyBorder="1" applyAlignment="1">
      <alignment vertical="distributed" wrapText="1"/>
    </xf>
    <xf numFmtId="0" fontId="1" fillId="3" borderId="5" xfId="0" applyFont="1" applyFill="1" applyBorder="1" applyAlignment="1">
      <alignment horizontal="center" vertical="distributed" wrapText="1"/>
    </xf>
    <xf numFmtId="0" fontId="0" fillId="3" borderId="5" xfId="0" applyFill="1" applyBorder="1" applyAlignment="1">
      <alignment horizontal="center" vertical="distributed" wrapText="1"/>
    </xf>
    <xf numFmtId="195" fontId="7" fillId="0" borderId="46" xfId="0" applyNumberFormat="1" applyFont="1" applyBorder="1" applyAlignment="1">
      <alignment vertical="distributed" wrapText="1"/>
    </xf>
    <xf numFmtId="195" fontId="7" fillId="0" borderId="22" xfId="0" applyNumberFormat="1" applyFont="1" applyBorder="1" applyAlignment="1">
      <alignment vertical="distributed" wrapText="1"/>
    </xf>
    <xf numFmtId="195" fontId="50" fillId="0" borderId="56" xfId="0" applyNumberFormat="1" applyFont="1" applyBorder="1" applyAlignment="1">
      <alignment vertical="distributed" wrapText="1"/>
    </xf>
    <xf numFmtId="195" fontId="50" fillId="0" borderId="46" xfId="0" applyNumberFormat="1" applyFont="1" applyBorder="1" applyAlignment="1">
      <alignment vertical="distributed" wrapText="1"/>
    </xf>
    <xf numFmtId="195" fontId="7" fillId="0" borderId="60" xfId="0" applyNumberFormat="1" applyFont="1" applyBorder="1" applyAlignment="1">
      <alignment vertical="distributed" wrapText="1"/>
    </xf>
    <xf numFmtId="195" fontId="7" fillId="0" borderId="70" xfId="0" applyNumberFormat="1" applyFont="1" applyBorder="1" applyAlignment="1">
      <alignment vertical="distributed" wrapText="1"/>
    </xf>
    <xf numFmtId="195" fontId="4" fillId="0" borderId="3" xfId="0" applyNumberFormat="1" applyFont="1" applyBorder="1" applyAlignment="1">
      <alignment vertical="distributed" wrapText="1"/>
    </xf>
    <xf numFmtId="195" fontId="4" fillId="0" borderId="33" xfId="0" applyNumberFormat="1" applyFont="1" applyBorder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7" fillId="0" borderId="59" xfId="0" applyFont="1" applyBorder="1" applyAlignment="1">
      <alignment vertical="distributed" wrapText="1"/>
    </xf>
    <xf numFmtId="195" fontId="50" fillId="0" borderId="37" xfId="0" applyNumberFormat="1" applyFont="1" applyFill="1" applyBorder="1" applyAlignment="1">
      <alignment vertical="distributed" wrapText="1"/>
    </xf>
    <xf numFmtId="195" fontId="50" fillId="0" borderId="10" xfId="0" applyNumberFormat="1" applyFont="1" applyFill="1" applyBorder="1" applyAlignment="1">
      <alignment vertical="distributed" wrapText="1"/>
    </xf>
    <xf numFmtId="195" fontId="7" fillId="0" borderId="53" xfId="0" applyNumberFormat="1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vertical="distributed" wrapText="1"/>
    </xf>
    <xf numFmtId="195" fontId="6" fillId="0" borderId="0" xfId="0" applyNumberFormat="1" applyFont="1" applyFill="1" applyBorder="1" applyAlignment="1">
      <alignment vertical="distributed" wrapText="1"/>
    </xf>
    <xf numFmtId="195" fontId="50" fillId="0" borderId="0" xfId="0" applyNumberFormat="1" applyFont="1" applyFill="1" applyBorder="1" applyAlignment="1">
      <alignment vertical="distributed" wrapText="1"/>
    </xf>
    <xf numFmtId="192" fontId="45" fillId="0" borderId="0" xfId="0" applyNumberFormat="1" applyFont="1" applyFill="1" applyBorder="1" applyAlignment="1">
      <alignment vertical="distributed" wrapText="1"/>
    </xf>
    <xf numFmtId="0" fontId="0" fillId="0" borderId="0" xfId="0" applyFont="1" applyFill="1" applyBorder="1" applyAlignment="1">
      <alignment vertical="distributed" wrapText="1"/>
    </xf>
    <xf numFmtId="195" fontId="4" fillId="0" borderId="38" xfId="0" applyNumberFormat="1" applyFont="1" applyFill="1" applyBorder="1" applyAlignment="1">
      <alignment vertical="distributed" wrapText="1"/>
    </xf>
    <xf numFmtId="195" fontId="5" fillId="0" borderId="17" xfId="0" applyNumberFormat="1" applyFont="1" applyFill="1" applyBorder="1" applyAlignment="1">
      <alignment vertical="distributed" wrapText="1"/>
    </xf>
    <xf numFmtId="195" fontId="4" fillId="0" borderId="42" xfId="0" applyNumberFormat="1" applyFont="1" applyFill="1" applyBorder="1" applyAlignment="1">
      <alignment vertical="distributed" wrapText="1"/>
    </xf>
    <xf numFmtId="195" fontId="4" fillId="0" borderId="25" xfId="0" applyNumberFormat="1" applyFont="1" applyFill="1" applyBorder="1" applyAlignment="1">
      <alignment vertical="distributed" wrapText="1"/>
    </xf>
    <xf numFmtId="195" fontId="4" fillId="0" borderId="47" xfId="0" applyNumberFormat="1" applyFont="1" applyFill="1" applyBorder="1" applyAlignment="1">
      <alignment vertical="distributed" wrapText="1"/>
    </xf>
    <xf numFmtId="0" fontId="0" fillId="0" borderId="5" xfId="0" applyFont="1" applyFill="1" applyBorder="1" applyAlignment="1">
      <alignment horizontal="center" vertical="distributed" wrapText="1"/>
    </xf>
    <xf numFmtId="16" fontId="0" fillId="0" borderId="5" xfId="0" applyNumberFormat="1" applyFont="1" applyFill="1" applyBorder="1" applyAlignment="1">
      <alignment horizontal="center" vertical="distributed" wrapText="1"/>
    </xf>
    <xf numFmtId="0" fontId="5" fillId="0" borderId="5" xfId="0" applyFont="1" applyBorder="1" applyAlignment="1">
      <alignment horizontal="left" vertical="top" wrapText="1"/>
    </xf>
    <xf numFmtId="195" fontId="51" fillId="3" borderId="5" xfId="0" applyNumberFormat="1" applyFont="1" applyFill="1" applyBorder="1" applyAlignment="1">
      <alignment vertical="distributed" wrapText="1"/>
    </xf>
    <xf numFmtId="0" fontId="51" fillId="4" borderId="0" xfId="0" applyFont="1" applyFill="1" applyAlignment="1">
      <alignment vertical="center"/>
    </xf>
    <xf numFmtId="195" fontId="48" fillId="3" borderId="6" xfId="0" applyNumberFormat="1" applyFont="1" applyFill="1" applyBorder="1" applyAlignment="1">
      <alignment vertical="distributed" wrapText="1"/>
    </xf>
    <xf numFmtId="195" fontId="48" fillId="3" borderId="1" xfId="0" applyNumberFormat="1" applyFont="1" applyFill="1" applyBorder="1" applyAlignment="1">
      <alignment vertical="distributed" wrapText="1"/>
    </xf>
    <xf numFmtId="195" fontId="48" fillId="3" borderId="55" xfId="0" applyNumberFormat="1" applyFont="1" applyFill="1" applyBorder="1" applyAlignment="1">
      <alignment vertical="distributed" wrapText="1"/>
    </xf>
    <xf numFmtId="195" fontId="7" fillId="4" borderId="39" xfId="0" applyNumberFormat="1" applyFont="1" applyFill="1" applyBorder="1" applyAlignment="1">
      <alignment vertical="distributed" wrapText="1"/>
    </xf>
    <xf numFmtId="195" fontId="1" fillId="0" borderId="64" xfId="0" applyNumberFormat="1" applyFont="1" applyBorder="1" applyAlignment="1">
      <alignment vertical="center"/>
    </xf>
    <xf numFmtId="195" fontId="1" fillId="0" borderId="71" xfId="0" applyNumberFormat="1" applyFont="1" applyBorder="1" applyAlignment="1">
      <alignment vertical="center"/>
    </xf>
    <xf numFmtId="195" fontId="1" fillId="0" borderId="6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195" fontId="0" fillId="0" borderId="24" xfId="0" applyNumberFormat="1" applyBorder="1" applyAlignment="1">
      <alignment vertical="center"/>
    </xf>
    <xf numFmtId="195" fontId="0" fillId="0" borderId="73" xfId="0" applyNumberFormat="1" applyBorder="1" applyAlignment="1">
      <alignment vertical="center"/>
    </xf>
    <xf numFmtId="195" fontId="1" fillId="0" borderId="45" xfId="0" applyNumberFormat="1" applyFont="1" applyBorder="1" applyAlignment="1">
      <alignment vertical="center"/>
    </xf>
    <xf numFmtId="195" fontId="1" fillId="0" borderId="74" xfId="0" applyNumberFormat="1" applyFont="1" applyBorder="1" applyAlignment="1">
      <alignment vertical="center"/>
    </xf>
    <xf numFmtId="195" fontId="1" fillId="0" borderId="12" xfId="0" applyNumberFormat="1" applyFont="1" applyBorder="1" applyAlignment="1">
      <alignment vertical="center"/>
    </xf>
    <xf numFmtId="0" fontId="4" fillId="4" borderId="33" xfId="0" applyFont="1" applyFill="1" applyBorder="1" applyAlignment="1">
      <alignment vertical="top" wrapText="1"/>
    </xf>
    <xf numFmtId="0" fontId="0" fillId="4" borderId="59" xfId="0" applyFont="1" applyFill="1" applyBorder="1" applyAlignment="1">
      <alignment vertical="center"/>
    </xf>
    <xf numFmtId="3" fontId="0" fillId="4" borderId="42" xfId="0" applyNumberFormat="1" applyFill="1" applyBorder="1" applyAlignment="1">
      <alignment vertical="center"/>
    </xf>
    <xf numFmtId="3" fontId="0" fillId="4" borderId="25" xfId="0" applyNumberFormat="1" applyFill="1" applyBorder="1" applyAlignment="1">
      <alignment vertical="center"/>
    </xf>
    <xf numFmtId="3" fontId="0" fillId="4" borderId="75" xfId="0" applyNumberFormat="1" applyFill="1" applyBorder="1" applyAlignment="1">
      <alignment vertical="center"/>
    </xf>
    <xf numFmtId="0" fontId="4" fillId="4" borderId="14" xfId="0" applyFont="1" applyFill="1" applyBorder="1" applyAlignment="1">
      <alignment vertical="top" wrapText="1"/>
    </xf>
    <xf numFmtId="0" fontId="38" fillId="4" borderId="69" xfId="0" applyFont="1" applyFill="1" applyBorder="1" applyAlignment="1">
      <alignment vertical="center"/>
    </xf>
    <xf numFmtId="195" fontId="0" fillId="4" borderId="31" xfId="0" applyNumberFormat="1" applyFill="1" applyBorder="1" applyAlignment="1">
      <alignment vertical="center"/>
    </xf>
    <xf numFmtId="195" fontId="0" fillId="4" borderId="16" xfId="0" applyNumberFormat="1" applyFill="1" applyBorder="1" applyAlignment="1">
      <alignment vertical="center"/>
    </xf>
    <xf numFmtId="195" fontId="0" fillId="4" borderId="32" xfId="0" applyNumberFormat="1" applyFill="1" applyBorder="1" applyAlignment="1">
      <alignment vertical="center"/>
    </xf>
    <xf numFmtId="0" fontId="5" fillId="0" borderId="5" xfId="0" applyFont="1" applyFill="1" applyBorder="1" applyAlignment="1">
      <alignment vertical="top" wrapText="1"/>
    </xf>
    <xf numFmtId="0" fontId="38" fillId="0" borderId="5" xfId="0" applyFont="1" applyFill="1" applyBorder="1" applyAlignment="1">
      <alignment vertical="center"/>
    </xf>
    <xf numFmtId="195" fontId="40" fillId="0" borderId="5" xfId="0" applyNumberFormat="1" applyFont="1" applyFill="1" applyBorder="1" applyAlignment="1">
      <alignment vertical="center"/>
    </xf>
    <xf numFmtId="195" fontId="1" fillId="0" borderId="40" xfId="0" applyNumberFormat="1" applyFont="1" applyFill="1" applyBorder="1" applyAlignment="1">
      <alignment vertical="center"/>
    </xf>
    <xf numFmtId="195" fontId="1" fillId="0" borderId="1" xfId="0" applyNumberFormat="1" applyFont="1" applyFill="1" applyBorder="1" applyAlignment="1">
      <alignment vertical="center"/>
    </xf>
    <xf numFmtId="195" fontId="0" fillId="0" borderId="1" xfId="0" applyNumberForma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95" fontId="1" fillId="0" borderId="35" xfId="0" applyNumberFormat="1" applyFont="1" applyFill="1" applyBorder="1" applyAlignment="1">
      <alignment vertical="center"/>
    </xf>
    <xf numFmtId="195" fontId="40" fillId="0" borderId="7" xfId="0" applyNumberFormat="1" applyFont="1" applyFill="1" applyBorder="1" applyAlignment="1">
      <alignment vertical="center"/>
    </xf>
    <xf numFmtId="3" fontId="40" fillId="4" borderId="17" xfId="0" applyNumberFormat="1" applyFont="1" applyFill="1" applyBorder="1" applyAlignment="1">
      <alignment vertical="center"/>
    </xf>
    <xf numFmtId="195" fontId="40" fillId="4" borderId="23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40" fillId="0" borderId="8" xfId="0" applyNumberFormat="1" applyFont="1" applyBorder="1" applyAlignment="1">
      <alignment vertical="center"/>
    </xf>
    <xf numFmtId="3" fontId="40" fillId="0" borderId="5" xfId="0" applyNumberFormat="1" applyFont="1" applyBorder="1" applyAlignment="1">
      <alignment vertical="center"/>
    </xf>
    <xf numFmtId="195" fontId="51" fillId="3" borderId="7" xfId="0" applyNumberFormat="1" applyFont="1" applyFill="1" applyBorder="1" applyAlignment="1">
      <alignment vertical="distributed" wrapText="1"/>
    </xf>
    <xf numFmtId="195" fontId="6" fillId="3" borderId="6" xfId="0" applyNumberFormat="1" applyFont="1" applyFill="1" applyBorder="1" applyAlignment="1">
      <alignment vertical="distributed" wrapText="1"/>
    </xf>
    <xf numFmtId="195" fontId="6" fillId="3" borderId="13" xfId="0" applyNumberFormat="1" applyFont="1" applyFill="1" applyBorder="1" applyAlignment="1">
      <alignment vertical="distributed" wrapText="1"/>
    </xf>
    <xf numFmtId="192" fontId="4" fillId="3" borderId="40" xfId="0" applyNumberFormat="1" applyFont="1" applyFill="1" applyBorder="1" applyAlignment="1">
      <alignment vertical="distributed" wrapText="1"/>
    </xf>
    <xf numFmtId="192" fontId="4" fillId="3" borderId="1" xfId="0" applyNumberFormat="1" applyFont="1" applyFill="1" applyBorder="1" applyAlignment="1">
      <alignment vertical="distributed" wrapText="1"/>
    </xf>
    <xf numFmtId="192" fontId="7" fillId="3" borderId="1" xfId="0" applyNumberFormat="1" applyFont="1" applyFill="1" applyBorder="1" applyAlignment="1">
      <alignment vertical="distributed" wrapText="1"/>
    </xf>
    <xf numFmtId="0" fontId="41" fillId="4" borderId="11" xfId="0" applyFont="1" applyFill="1" applyBorder="1" applyAlignment="1">
      <alignment wrapText="1"/>
    </xf>
    <xf numFmtId="195" fontId="42" fillId="4" borderId="11" xfId="0" applyNumberFormat="1" applyFont="1" applyFill="1" applyBorder="1" applyAlignment="1">
      <alignment wrapText="1"/>
    </xf>
    <xf numFmtId="195" fontId="41" fillId="4" borderId="11" xfId="0" applyNumberFormat="1" applyFont="1" applyFill="1" applyBorder="1" applyAlignment="1">
      <alignment wrapText="1"/>
    </xf>
    <xf numFmtId="195" fontId="1" fillId="0" borderId="11" xfId="0" applyNumberFormat="1" applyFont="1" applyBorder="1" applyAlignment="1">
      <alignment wrapText="1"/>
    </xf>
    <xf numFmtId="184" fontId="5" fillId="0" borderId="59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95" fontId="5" fillId="0" borderId="6" xfId="0" applyNumberFormat="1" applyFont="1" applyBorder="1" applyAlignment="1">
      <alignment horizontal="center" vertical="center"/>
    </xf>
    <xf numFmtId="195" fontId="5" fillId="0" borderId="5" xfId="0" applyNumberFormat="1" applyFont="1" applyBorder="1" applyAlignment="1">
      <alignment horizontal="center" vertical="center"/>
    </xf>
    <xf numFmtId="195" fontId="32" fillId="4" borderId="5" xfId="0" applyNumberFormat="1" applyFont="1" applyFill="1" applyBorder="1" applyAlignment="1">
      <alignment horizontal="center" vertical="center"/>
    </xf>
    <xf numFmtId="195" fontId="7" fillId="0" borderId="52" xfId="0" applyNumberFormat="1" applyFont="1" applyFill="1" applyBorder="1" applyAlignment="1">
      <alignment vertical="distributed" wrapText="1"/>
    </xf>
    <xf numFmtId="195" fontId="7" fillId="0" borderId="10" xfId="0" applyNumberFormat="1" applyFont="1" applyBorder="1" applyAlignment="1">
      <alignment vertical="distributed" wrapText="1"/>
    </xf>
    <xf numFmtId="192" fontId="45" fillId="0" borderId="28" xfId="0" applyNumberFormat="1" applyFont="1" applyBorder="1" applyAlignment="1">
      <alignment vertical="distributed" wrapText="1"/>
    </xf>
    <xf numFmtId="195" fontId="7" fillId="0" borderId="51" xfId="0" applyNumberFormat="1" applyFont="1" applyFill="1" applyBorder="1" applyAlignment="1">
      <alignment vertical="distributed" wrapText="1"/>
    </xf>
    <xf numFmtId="0" fontId="0" fillId="0" borderId="51" xfId="0" applyFont="1" applyBorder="1" applyAlignment="1">
      <alignment vertical="distributed" wrapText="1"/>
    </xf>
    <xf numFmtId="0" fontId="0" fillId="0" borderId="15" xfId="0" applyFont="1" applyBorder="1" applyAlignment="1">
      <alignment vertical="distributed" wrapText="1"/>
    </xf>
    <xf numFmtId="195" fontId="7" fillId="0" borderId="54" xfId="0" applyNumberFormat="1" applyFont="1" applyFill="1" applyBorder="1" applyAlignment="1">
      <alignment vertical="distributed" wrapText="1"/>
    </xf>
    <xf numFmtId="195" fontId="7" fillId="0" borderId="16" xfId="0" applyNumberFormat="1" applyFont="1" applyBorder="1" applyAlignment="1">
      <alignment vertical="distributed" wrapText="1"/>
    </xf>
    <xf numFmtId="192" fontId="45" fillId="0" borderId="32" xfId="0" applyNumberFormat="1" applyFont="1" applyBorder="1" applyAlignment="1">
      <alignment vertical="distributed" wrapText="1"/>
    </xf>
    <xf numFmtId="195" fontId="7" fillId="0" borderId="23" xfId="0" applyNumberFormat="1" applyFont="1" applyBorder="1" applyAlignment="1">
      <alignment vertical="distributed" wrapText="1"/>
    </xf>
    <xf numFmtId="195" fontId="4" fillId="0" borderId="13" xfId="0" applyNumberFormat="1" applyFont="1" applyBorder="1" applyAlignment="1">
      <alignment vertical="distributed" wrapText="1"/>
    </xf>
    <xf numFmtId="195" fontId="4" fillId="0" borderId="7" xfId="0" applyNumberFormat="1" applyFont="1" applyBorder="1" applyAlignment="1">
      <alignment vertical="distributed" wrapText="1"/>
    </xf>
    <xf numFmtId="195" fontId="4" fillId="0" borderId="24" xfId="0" applyNumberFormat="1" applyFont="1" applyBorder="1" applyAlignment="1">
      <alignment vertical="distributed" wrapText="1"/>
    </xf>
    <xf numFmtId="195" fontId="4" fillId="0" borderId="38" xfId="0" applyNumberFormat="1" applyFont="1" applyBorder="1" applyAlignment="1">
      <alignment vertical="distributed" wrapText="1"/>
    </xf>
    <xf numFmtId="195" fontId="4" fillId="0" borderId="73" xfId="0" applyNumberFormat="1" applyFont="1" applyBorder="1" applyAlignment="1">
      <alignment vertical="distributed" wrapText="1"/>
    </xf>
    <xf numFmtId="195" fontId="4" fillId="0" borderId="6" xfId="0" applyNumberFormat="1" applyFont="1" applyFill="1" applyBorder="1" applyAlignment="1">
      <alignment vertical="distributed" wrapText="1"/>
    </xf>
    <xf numFmtId="195" fontId="4" fillId="0" borderId="35" xfId="0" applyNumberFormat="1" applyFont="1" applyBorder="1" applyAlignment="1">
      <alignment vertical="distributed" wrapText="1"/>
    </xf>
    <xf numFmtId="0" fontId="46" fillId="0" borderId="21" xfId="0" applyFont="1" applyBorder="1" applyAlignment="1">
      <alignment horizontal="left" vertical="top" wrapText="1" indent="1"/>
    </xf>
    <xf numFmtId="195" fontId="46" fillId="0" borderId="12" xfId="0" applyNumberFormat="1" applyFont="1" applyBorder="1" applyAlignment="1">
      <alignment wrapText="1"/>
    </xf>
    <xf numFmtId="195" fontId="51" fillId="0" borderId="12" xfId="0" applyNumberFormat="1" applyFont="1" applyBorder="1" applyAlignment="1">
      <alignment wrapText="1"/>
    </xf>
    <xf numFmtId="0" fontId="45" fillId="0" borderId="0" xfId="0" applyFont="1" applyAlignment="1">
      <alignment vertical="center"/>
    </xf>
    <xf numFmtId="195" fontId="4" fillId="0" borderId="57" xfId="0" applyNumberFormat="1" applyFont="1" applyBorder="1" applyAlignment="1">
      <alignment vertical="center" wrapText="1"/>
    </xf>
    <xf numFmtId="195" fontId="4" fillId="0" borderId="3" xfId="0" applyNumberFormat="1" applyFont="1" applyBorder="1" applyAlignment="1">
      <alignment vertical="center" wrapText="1"/>
    </xf>
    <xf numFmtId="195" fontId="4" fillId="0" borderId="49" xfId="0" applyNumberFormat="1" applyFont="1" applyBorder="1" applyAlignment="1">
      <alignment vertical="center" wrapText="1"/>
    </xf>
    <xf numFmtId="195" fontId="4" fillId="0" borderId="21" xfId="0" applyNumberFormat="1" applyFont="1" applyBorder="1" applyAlignment="1">
      <alignment vertical="top" wrapText="1"/>
    </xf>
    <xf numFmtId="195" fontId="4" fillId="0" borderId="23" xfId="0" applyNumberFormat="1" applyFont="1" applyBorder="1" applyAlignment="1">
      <alignment vertical="top" wrapText="1"/>
    </xf>
    <xf numFmtId="195" fontId="4" fillId="0" borderId="46" xfId="0" applyNumberFormat="1" applyFont="1" applyBorder="1" applyAlignment="1">
      <alignment vertical="center" wrapText="1"/>
    </xf>
    <xf numFmtId="195" fontId="4" fillId="0" borderId="34" xfId="0" applyNumberFormat="1" applyFont="1" applyBorder="1" applyAlignment="1">
      <alignment vertical="center" wrapText="1"/>
    </xf>
    <xf numFmtId="195" fontId="4" fillId="0" borderId="60" xfId="0" applyNumberFormat="1" applyFont="1" applyBorder="1" applyAlignment="1">
      <alignment vertical="center" wrapText="1"/>
    </xf>
    <xf numFmtId="195" fontId="5" fillId="0" borderId="39" xfId="0" applyNumberFormat="1" applyFont="1" applyBorder="1" applyAlignment="1">
      <alignment vertical="top" wrapText="1"/>
    </xf>
    <xf numFmtId="195" fontId="5" fillId="0" borderId="21" xfId="0" applyNumberFormat="1" applyFont="1" applyBorder="1" applyAlignment="1">
      <alignment vertical="top" wrapText="1"/>
    </xf>
    <xf numFmtId="195" fontId="4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195" fontId="4" fillId="0" borderId="39" xfId="0" applyNumberFormat="1" applyFont="1" applyBorder="1" applyAlignment="1">
      <alignment vertical="center" wrapText="1"/>
    </xf>
    <xf numFmtId="195" fontId="4" fillId="0" borderId="56" xfId="0" applyNumberFormat="1" applyFont="1" applyBorder="1" applyAlignment="1">
      <alignment vertical="center" wrapText="1"/>
    </xf>
    <xf numFmtId="195" fontId="5" fillId="0" borderId="15" xfId="0" applyNumberFormat="1" applyFont="1" applyBorder="1" applyAlignment="1">
      <alignment vertical="center" wrapText="1"/>
    </xf>
    <xf numFmtId="195" fontId="5" fillId="0" borderId="20" xfId="0" applyNumberFormat="1" applyFont="1" applyBorder="1" applyAlignment="1">
      <alignment vertical="center" wrapText="1"/>
    </xf>
    <xf numFmtId="195" fontId="5" fillId="0" borderId="21" xfId="0" applyNumberFormat="1" applyFont="1" applyBorder="1" applyAlignment="1">
      <alignment vertical="center" wrapText="1"/>
    </xf>
    <xf numFmtId="195" fontId="5" fillId="0" borderId="23" xfId="0" applyNumberFormat="1" applyFont="1" applyBorder="1" applyAlignment="1">
      <alignment vertical="top" wrapText="1"/>
    </xf>
    <xf numFmtId="195" fontId="5" fillId="0" borderId="34" xfId="0" applyNumberFormat="1" applyFont="1" applyBorder="1" applyAlignment="1">
      <alignment vertical="top" wrapText="1"/>
    </xf>
    <xf numFmtId="195" fontId="4" fillId="0" borderId="18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195" fontId="53" fillId="0" borderId="5" xfId="0" applyNumberFormat="1" applyFont="1" applyBorder="1" applyAlignment="1">
      <alignment vertical="top" wrapText="1"/>
    </xf>
    <xf numFmtId="195" fontId="6" fillId="0" borderId="21" xfId="0" applyNumberFormat="1" applyFont="1" applyBorder="1" applyAlignment="1">
      <alignment vertical="distributed" wrapText="1"/>
    </xf>
    <xf numFmtId="195" fontId="7" fillId="0" borderId="1" xfId="0" applyNumberFormat="1" applyFont="1" applyBorder="1" applyAlignment="1">
      <alignment vertical="distributed" wrapText="1"/>
    </xf>
    <xf numFmtId="3" fontId="7" fillId="0" borderId="1" xfId="0" applyNumberFormat="1" applyFont="1" applyBorder="1" applyAlignment="1">
      <alignment vertical="distributed" wrapText="1"/>
    </xf>
    <xf numFmtId="3" fontId="7" fillId="0" borderId="35" xfId="0" applyNumberFormat="1" applyFont="1" applyBorder="1" applyAlignment="1">
      <alignment vertical="distributed" wrapText="1"/>
    </xf>
    <xf numFmtId="195" fontId="7" fillId="0" borderId="40" xfId="0" applyNumberFormat="1" applyFont="1" applyBorder="1" applyAlignment="1">
      <alignment vertical="distributed" wrapText="1"/>
    </xf>
    <xf numFmtId="195" fontId="7" fillId="0" borderId="27" xfId="0" applyNumberFormat="1" applyFont="1" applyBorder="1" applyAlignment="1">
      <alignment vertical="distributed" wrapText="1"/>
    </xf>
    <xf numFmtId="195" fontId="27" fillId="0" borderId="11" xfId="0" applyNumberFormat="1" applyFont="1" applyBorder="1" applyAlignment="1">
      <alignment wrapText="1"/>
    </xf>
    <xf numFmtId="195" fontId="7" fillId="0" borderId="54" xfId="0" applyNumberFormat="1" applyFont="1" applyBorder="1" applyAlignment="1">
      <alignment vertical="center" wrapText="1"/>
    </xf>
    <xf numFmtId="195" fontId="7" fillId="0" borderId="16" xfId="0" applyNumberFormat="1" applyFont="1" applyBorder="1" applyAlignment="1">
      <alignment vertical="center" wrapText="1"/>
    </xf>
    <xf numFmtId="195" fontId="7" fillId="0" borderId="43" xfId="0" applyNumberFormat="1" applyFont="1" applyBorder="1" applyAlignment="1">
      <alignment vertical="center" wrapText="1"/>
    </xf>
    <xf numFmtId="195" fontId="7" fillId="0" borderId="39" xfId="0" applyNumberFormat="1" applyFont="1" applyBorder="1" applyAlignment="1">
      <alignment vertical="top" wrapText="1"/>
    </xf>
    <xf numFmtId="195" fontId="7" fillId="0" borderId="2" xfId="0" applyNumberFormat="1" applyFont="1" applyBorder="1" applyAlignment="1">
      <alignment vertical="top" wrapText="1"/>
    </xf>
    <xf numFmtId="195" fontId="7" fillId="0" borderId="34" xfId="0" applyNumberFormat="1" applyFont="1" applyBorder="1" applyAlignment="1">
      <alignment vertical="top" wrapText="1"/>
    </xf>
    <xf numFmtId="195" fontId="7" fillId="0" borderId="58" xfId="0" applyNumberFormat="1" applyFont="1" applyBorder="1" applyAlignment="1">
      <alignment vertical="top" wrapText="1"/>
    </xf>
    <xf numFmtId="195" fontId="7" fillId="0" borderId="56" xfId="0" applyNumberFormat="1" applyFont="1" applyBorder="1" applyAlignment="1">
      <alignment vertical="top" wrapText="1"/>
    </xf>
    <xf numFmtId="195" fontId="7" fillId="0" borderId="70" xfId="0" applyNumberFormat="1" applyFont="1" applyBorder="1" applyAlignment="1">
      <alignment vertical="top" wrapText="1"/>
    </xf>
    <xf numFmtId="195" fontId="7" fillId="0" borderId="52" xfId="0" applyNumberFormat="1" applyFont="1" applyBorder="1" applyAlignment="1">
      <alignment vertical="top" wrapText="1"/>
    </xf>
    <xf numFmtId="195" fontId="7" fillId="0" borderId="10" xfId="0" applyNumberFormat="1" applyFont="1" applyBorder="1" applyAlignment="1">
      <alignment vertical="top" wrapText="1"/>
    </xf>
    <xf numFmtId="195" fontId="7" fillId="0" borderId="53" xfId="0" applyNumberFormat="1" applyFont="1" applyBorder="1" applyAlignment="1">
      <alignment vertical="top" wrapText="1"/>
    </xf>
    <xf numFmtId="195" fontId="7" fillId="0" borderId="39" xfId="0" applyNumberFormat="1" applyFont="1" applyBorder="1" applyAlignment="1">
      <alignment vertical="center" wrapText="1"/>
    </xf>
    <xf numFmtId="195" fontId="7" fillId="0" borderId="2" xfId="0" applyNumberFormat="1" applyFont="1" applyBorder="1" applyAlignment="1">
      <alignment vertical="center" wrapText="1"/>
    </xf>
    <xf numFmtId="195" fontId="7" fillId="0" borderId="34" xfId="0" applyNumberFormat="1" applyFont="1" applyBorder="1" applyAlignment="1">
      <alignment vertical="center" wrapText="1"/>
    </xf>
    <xf numFmtId="195" fontId="7" fillId="0" borderId="56" xfId="0" applyNumberFormat="1" applyFont="1" applyBorder="1" applyAlignment="1">
      <alignment vertical="center" wrapText="1"/>
    </xf>
    <xf numFmtId="195" fontId="7" fillId="0" borderId="46" xfId="0" applyNumberFormat="1" applyFont="1" applyBorder="1" applyAlignment="1">
      <alignment vertical="center" wrapText="1"/>
    </xf>
    <xf numFmtId="195" fontId="7" fillId="0" borderId="60" xfId="0" applyNumberFormat="1" applyFont="1" applyBorder="1" applyAlignment="1">
      <alignment vertical="center" wrapText="1"/>
    </xf>
    <xf numFmtId="195" fontId="6" fillId="0" borderId="39" xfId="0" applyNumberFormat="1" applyFont="1" applyBorder="1" applyAlignment="1">
      <alignment vertical="top" wrapText="1"/>
    </xf>
    <xf numFmtId="195" fontId="6" fillId="0" borderId="2" xfId="0" applyNumberFormat="1" applyFont="1" applyBorder="1" applyAlignment="1">
      <alignment vertical="top" wrapText="1"/>
    </xf>
    <xf numFmtId="195" fontId="7" fillId="0" borderId="57" xfId="0" applyNumberFormat="1" applyFont="1" applyBorder="1" applyAlignment="1">
      <alignment vertical="center" wrapText="1"/>
    </xf>
    <xf numFmtId="195" fontId="7" fillId="0" borderId="3" xfId="0" applyNumberFormat="1" applyFont="1" applyBorder="1" applyAlignment="1">
      <alignment vertical="center" wrapText="1"/>
    </xf>
    <xf numFmtId="195" fontId="7" fillId="0" borderId="49" xfId="0" applyNumberFormat="1" applyFont="1" applyBorder="1" applyAlignment="1">
      <alignment vertical="center" wrapText="1"/>
    </xf>
    <xf numFmtId="195" fontId="7" fillId="0" borderId="51" xfId="0" applyNumberFormat="1" applyFont="1" applyBorder="1" applyAlignment="1">
      <alignment vertical="center" wrapText="1"/>
    </xf>
    <xf numFmtId="195" fontId="7" fillId="0" borderId="50" xfId="0" applyNumberFormat="1" applyFont="1" applyBorder="1" applyAlignment="1">
      <alignment vertical="center" wrapText="1"/>
    </xf>
    <xf numFmtId="213" fontId="7" fillId="0" borderId="51" xfId="0" applyNumberFormat="1" applyFont="1" applyBorder="1" applyAlignment="1">
      <alignment vertical="top" wrapText="1"/>
    </xf>
    <xf numFmtId="213" fontId="7" fillId="0" borderId="2" xfId="0" applyNumberFormat="1" applyFont="1" applyBorder="1" applyAlignment="1">
      <alignment vertical="top" wrapText="1"/>
    </xf>
    <xf numFmtId="195" fontId="7" fillId="0" borderId="50" xfId="0" applyNumberFormat="1" applyFont="1" applyBorder="1" applyAlignment="1">
      <alignment vertical="top" wrapText="1"/>
    </xf>
    <xf numFmtId="195" fontId="7" fillId="0" borderId="51" xfId="0" applyNumberFormat="1" applyFont="1" applyBorder="1" applyAlignment="1">
      <alignment vertical="top" wrapText="1"/>
    </xf>
    <xf numFmtId="195" fontId="7" fillId="0" borderId="61" xfId="0" applyNumberFormat="1" applyFont="1" applyBorder="1" applyAlignment="1">
      <alignment vertical="top" wrapText="1"/>
    </xf>
    <xf numFmtId="195" fontId="7" fillId="0" borderId="45" xfId="0" applyNumberFormat="1" applyFont="1" applyBorder="1" applyAlignment="1">
      <alignment vertical="top" wrapText="1"/>
    </xf>
    <xf numFmtId="184" fontId="0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wrapText="1"/>
    </xf>
    <xf numFmtId="0" fontId="0" fillId="0" borderId="0" xfId="0" applyBorder="1" applyAlignment="1">
      <alignment vertical="distributed" wrapText="1"/>
    </xf>
    <xf numFmtId="195" fontId="7" fillId="0" borderId="26" xfId="0" applyNumberFormat="1" applyFont="1" applyFill="1" applyBorder="1" applyAlignment="1">
      <alignment vertical="distributed" wrapText="1"/>
    </xf>
    <xf numFmtId="195" fontId="6" fillId="3" borderId="12" xfId="0" applyNumberFormat="1" applyFont="1" applyFill="1" applyBorder="1" applyAlignment="1">
      <alignment vertical="distributed" wrapText="1"/>
    </xf>
    <xf numFmtId="0" fontId="7" fillId="0" borderId="22" xfId="0" applyFont="1" applyBorder="1" applyAlignment="1">
      <alignment vertical="distributed" wrapText="1"/>
    </xf>
    <xf numFmtId="192" fontId="7" fillId="0" borderId="56" xfId="0" applyNumberFormat="1" applyFont="1" applyFill="1" applyBorder="1" applyAlignment="1">
      <alignment vertical="distributed" wrapText="1"/>
    </xf>
    <xf numFmtId="195" fontId="4" fillId="0" borderId="55" xfId="0" applyNumberFormat="1" applyFont="1" applyBorder="1" applyAlignment="1">
      <alignment vertical="distributed" wrapText="1"/>
    </xf>
    <xf numFmtId="0" fontId="5" fillId="0" borderId="7" xfId="0" applyFont="1" applyBorder="1" applyAlignment="1">
      <alignment horizontal="left" vertical="top" wrapText="1"/>
    </xf>
    <xf numFmtId="195" fontId="6" fillId="3" borderId="5" xfId="0" applyNumberFormat="1" applyFont="1" applyFill="1" applyBorder="1" applyAlignment="1">
      <alignment vertical="distributed" wrapText="1"/>
    </xf>
    <xf numFmtId="0" fontId="7" fillId="0" borderId="17" xfId="0" applyFont="1" applyBorder="1" applyAlignment="1">
      <alignment vertical="distributed" wrapText="1"/>
    </xf>
    <xf numFmtId="192" fontId="7" fillId="0" borderId="76" xfId="0" applyNumberFormat="1" applyFont="1" applyFill="1" applyBorder="1" applyAlignment="1">
      <alignment vertical="distributed" wrapText="1"/>
    </xf>
    <xf numFmtId="0" fontId="7" fillId="0" borderId="5" xfId="0" applyFont="1" applyBorder="1" applyAlignment="1">
      <alignment vertical="distributed" wrapText="1"/>
    </xf>
    <xf numFmtId="192" fontId="7" fillId="0" borderId="1" xfId="0" applyNumberFormat="1" applyFont="1" applyFill="1" applyBorder="1" applyAlignment="1">
      <alignment vertical="distributed" wrapText="1"/>
    </xf>
    <xf numFmtId="192" fontId="7" fillId="0" borderId="55" xfId="0" applyNumberFormat="1" applyFont="1" applyFill="1" applyBorder="1" applyAlignment="1">
      <alignment vertical="distributed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195" fontId="7" fillId="3" borderId="20" xfId="0" applyNumberFormat="1" applyFont="1" applyFill="1" applyBorder="1" applyAlignment="1">
      <alignment vertical="distributed" wrapText="1"/>
    </xf>
    <xf numFmtId="195" fontId="7" fillId="3" borderId="21" xfId="0" applyNumberFormat="1" applyFont="1" applyFill="1" applyBorder="1" applyAlignment="1">
      <alignment vertical="distributed" wrapText="1"/>
    </xf>
    <xf numFmtId="195" fontId="7" fillId="3" borderId="23" xfId="0" applyNumberFormat="1" applyFont="1" applyFill="1" applyBorder="1" applyAlignment="1">
      <alignment vertical="distributed" wrapText="1"/>
    </xf>
    <xf numFmtId="0" fontId="0" fillId="0" borderId="2" xfId="0" applyFont="1" applyBorder="1" applyAlignment="1">
      <alignment vertical="distributed" wrapText="1"/>
    </xf>
    <xf numFmtId="0" fontId="63" fillId="0" borderId="55" xfId="0" applyFont="1" applyBorder="1" applyAlignment="1">
      <alignment vertical="distributed" wrapText="1"/>
    </xf>
    <xf numFmtId="195" fontId="4" fillId="0" borderId="40" xfId="0" applyNumberFormat="1" applyFont="1" applyFill="1" applyBorder="1" applyAlignment="1">
      <alignment vertical="distributed" wrapText="1"/>
    </xf>
    <xf numFmtId="195" fontId="64" fillId="0" borderId="40" xfId="0" applyNumberFormat="1" applyFont="1" applyFill="1" applyBorder="1" applyAlignment="1">
      <alignment vertical="distributed" wrapText="1"/>
    </xf>
    <xf numFmtId="195" fontId="63" fillId="3" borderId="55" xfId="0" applyNumberFormat="1" applyFont="1" applyFill="1" applyBorder="1" applyAlignment="1">
      <alignment vertical="distributed" wrapText="1"/>
    </xf>
    <xf numFmtId="195" fontId="65" fillId="3" borderId="55" xfId="0" applyNumberFormat="1" applyFont="1" applyFill="1" applyBorder="1" applyAlignment="1">
      <alignment vertical="distributed" wrapText="1"/>
    </xf>
    <xf numFmtId="195" fontId="6" fillId="3" borderId="14" xfId="0" applyNumberFormat="1" applyFont="1" applyFill="1" applyBorder="1" applyAlignment="1">
      <alignment vertical="distributed" wrapText="1"/>
    </xf>
    <xf numFmtId="0" fontId="0" fillId="0" borderId="59" xfId="0" applyBorder="1" applyAlignment="1">
      <alignment horizontal="center" vertical="distributed" wrapText="1"/>
    </xf>
    <xf numFmtId="195" fontId="7" fillId="0" borderId="37" xfId="0" applyNumberFormat="1" applyFont="1" applyFill="1" applyBorder="1" applyAlignment="1">
      <alignment vertical="distributed" wrapText="1"/>
    </xf>
    <xf numFmtId="195" fontId="7" fillId="0" borderId="71" xfId="0" applyNumberFormat="1" applyFont="1" applyFill="1" applyBorder="1" applyAlignment="1">
      <alignment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50" xfId="0" applyFont="1" applyBorder="1" applyAlignment="1">
      <alignment vertical="distributed" wrapText="1"/>
    </xf>
    <xf numFmtId="0" fontId="0" fillId="0" borderId="14" xfId="0" applyBorder="1" applyAlignment="1">
      <alignment horizontal="center" vertical="distributed" wrapText="1"/>
    </xf>
    <xf numFmtId="192" fontId="0" fillId="0" borderId="43" xfId="0" applyNumberFormat="1" applyFont="1" applyBorder="1" applyAlignment="1">
      <alignment vertical="distributed" wrapText="1"/>
    </xf>
    <xf numFmtId="0" fontId="5" fillId="0" borderId="5" xfId="0" applyFont="1" applyBorder="1" applyAlignment="1">
      <alignment vertical="center" wrapText="1"/>
    </xf>
    <xf numFmtId="192" fontId="63" fillId="0" borderId="6" xfId="0" applyNumberFormat="1" applyFont="1" applyBorder="1" applyAlignment="1">
      <alignment vertical="distributed" wrapText="1"/>
    </xf>
    <xf numFmtId="192" fontId="63" fillId="0" borderId="1" xfId="0" applyNumberFormat="1" applyFont="1" applyBorder="1" applyAlignment="1">
      <alignment vertical="distributed" wrapText="1"/>
    </xf>
    <xf numFmtId="195" fontId="7" fillId="0" borderId="10" xfId="0" applyNumberFormat="1" applyFont="1" applyFill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195" fontId="7" fillId="0" borderId="29" xfId="0" applyNumberFormat="1" applyFont="1" applyFill="1" applyBorder="1" applyAlignment="1">
      <alignment vertical="distributed" wrapText="1"/>
    </xf>
    <xf numFmtId="0" fontId="0" fillId="0" borderId="26" xfId="0" applyFont="1" applyBorder="1" applyAlignment="1">
      <alignment vertical="distributed" wrapText="1"/>
    </xf>
    <xf numFmtId="195" fontId="7" fillId="0" borderId="9" xfId="0" applyNumberFormat="1" applyFont="1" applyFill="1" applyBorder="1" applyAlignment="1">
      <alignment vertical="distributed" wrapText="1"/>
    </xf>
    <xf numFmtId="195" fontId="4" fillId="0" borderId="13" xfId="0" applyNumberFormat="1" applyFont="1" applyFill="1" applyBorder="1" applyAlignment="1">
      <alignment vertical="distributed" wrapText="1"/>
    </xf>
    <xf numFmtId="0" fontId="47" fillId="0" borderId="15" xfId="0" applyFont="1" applyBorder="1" applyAlignment="1">
      <alignment horizontal="left" vertical="top" wrapText="1"/>
    </xf>
    <xf numFmtId="0" fontId="47" fillId="0" borderId="59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192" fontId="7" fillId="0" borderId="58" xfId="0" applyNumberFormat="1" applyFont="1" applyFill="1" applyBorder="1" applyAlignment="1">
      <alignment vertical="distributed" wrapText="1"/>
    </xf>
    <xf numFmtId="192" fontId="7" fillId="0" borderId="54" xfId="0" applyNumberFormat="1" applyFont="1" applyFill="1" applyBorder="1" applyAlignment="1">
      <alignment vertical="distributed" wrapText="1"/>
    </xf>
    <xf numFmtId="195" fontId="6" fillId="3" borderId="61" xfId="0" applyNumberFormat="1" applyFont="1" applyFill="1" applyBorder="1" applyAlignment="1">
      <alignment vertical="distributed" wrapText="1"/>
    </xf>
    <xf numFmtId="195" fontId="4" fillId="3" borderId="6" xfId="0" applyNumberFormat="1" applyFont="1" applyFill="1" applyBorder="1" applyAlignment="1">
      <alignment vertical="distributed" wrapText="1"/>
    </xf>
    <xf numFmtId="195" fontId="4" fillId="3" borderId="55" xfId="0" applyNumberFormat="1" applyFont="1" applyFill="1" applyBorder="1" applyAlignment="1">
      <alignment vertical="distributed" wrapText="1"/>
    </xf>
    <xf numFmtId="0" fontId="4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92" fontId="6" fillId="0" borderId="0" xfId="0" applyNumberFormat="1" applyFont="1" applyBorder="1" applyAlignment="1">
      <alignment horizontal="center" shrinkToFit="1"/>
    </xf>
    <xf numFmtId="0" fontId="4" fillId="0" borderId="39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195" fontId="6" fillId="3" borderId="62" xfId="0" applyNumberFormat="1" applyFont="1" applyFill="1" applyBorder="1" applyAlignment="1">
      <alignment vertical="distributed" wrapText="1"/>
    </xf>
    <xf numFmtId="192" fontId="7" fillId="0" borderId="41" xfId="0" applyNumberFormat="1" applyFont="1" applyFill="1" applyBorder="1" applyAlignment="1">
      <alignment vertical="distributed" wrapText="1"/>
    </xf>
    <xf numFmtId="192" fontId="7" fillId="0" borderId="26" xfId="0" applyNumberFormat="1" applyFont="1" applyFill="1" applyBorder="1" applyAlignment="1">
      <alignment vertical="distributed" wrapText="1"/>
    </xf>
    <xf numFmtId="192" fontId="7" fillId="0" borderId="30" xfId="0" applyNumberFormat="1" applyFont="1" applyFill="1" applyBorder="1" applyAlignment="1">
      <alignment vertical="distributed" wrapText="1"/>
    </xf>
    <xf numFmtId="192" fontId="7" fillId="0" borderId="2" xfId="0" applyNumberFormat="1" applyFont="1" applyFill="1" applyBorder="1" applyAlignment="1">
      <alignment vertical="distributed" wrapText="1"/>
    </xf>
    <xf numFmtId="192" fontId="7" fillId="0" borderId="52" xfId="0" applyNumberFormat="1" applyFont="1" applyFill="1" applyBorder="1" applyAlignment="1">
      <alignment vertical="distributed" wrapText="1"/>
    </xf>
    <xf numFmtId="192" fontId="7" fillId="0" borderId="51" xfId="0" applyNumberFormat="1" applyFont="1" applyFill="1" applyBorder="1" applyAlignment="1">
      <alignment vertical="distributed" wrapText="1"/>
    </xf>
    <xf numFmtId="192" fontId="7" fillId="0" borderId="50" xfId="0" applyNumberFormat="1" applyFont="1" applyFill="1" applyBorder="1" applyAlignment="1">
      <alignment vertical="distributed" wrapText="1"/>
    </xf>
    <xf numFmtId="192" fontId="7" fillId="0" borderId="16" xfId="0" applyNumberFormat="1" applyFont="1" applyFill="1" applyBorder="1" applyAlignment="1">
      <alignment vertical="distributed" wrapText="1"/>
    </xf>
    <xf numFmtId="192" fontId="7" fillId="0" borderId="43" xfId="0" applyNumberFormat="1" applyFont="1" applyFill="1" applyBorder="1" applyAlignment="1">
      <alignment vertical="distributed" wrapText="1"/>
    </xf>
    <xf numFmtId="0" fontId="4" fillId="0" borderId="44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4" fillId="0" borderId="5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42" fillId="4" borderId="12" xfId="0" applyFont="1" applyFill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distributed" wrapText="1"/>
    </xf>
    <xf numFmtId="192" fontId="7" fillId="0" borderId="46" xfId="0" applyNumberFormat="1" applyFont="1" applyBorder="1" applyAlignment="1">
      <alignment vertical="distributed" wrapText="1"/>
    </xf>
    <xf numFmtId="192" fontId="7" fillId="0" borderId="60" xfId="0" applyNumberFormat="1" applyFont="1" applyBorder="1" applyAlignment="1">
      <alignment vertical="distributed" wrapText="1"/>
    </xf>
    <xf numFmtId="0" fontId="7" fillId="0" borderId="8" xfId="0" applyFont="1" applyBorder="1" applyAlignment="1">
      <alignment vertical="distributed" wrapText="1"/>
    </xf>
    <xf numFmtId="0" fontId="7" fillId="0" borderId="21" xfId="0" applyFont="1" applyBorder="1" applyAlignment="1">
      <alignment vertical="distributed" wrapText="1"/>
    </xf>
    <xf numFmtId="192" fontId="7" fillId="6" borderId="0" xfId="0" applyNumberFormat="1" applyFont="1" applyFill="1" applyBorder="1" applyAlignment="1">
      <alignment vertical="distributed" wrapText="1"/>
    </xf>
    <xf numFmtId="192" fontId="7" fillId="7" borderId="0" xfId="0" applyNumberFormat="1" applyFont="1" applyFill="1" applyBorder="1" applyAlignment="1">
      <alignment vertical="distributed" wrapText="1"/>
    </xf>
    <xf numFmtId="192" fontId="7" fillId="8" borderId="0" xfId="0" applyNumberFormat="1" applyFont="1" applyFill="1" applyBorder="1" applyAlignment="1">
      <alignment vertical="distributed" wrapText="1"/>
    </xf>
    <xf numFmtId="195" fontId="6" fillId="0" borderId="45" xfId="0" applyNumberFormat="1" applyFont="1" applyFill="1" applyBorder="1" applyAlignment="1">
      <alignment vertical="distributed" wrapText="1"/>
    </xf>
    <xf numFmtId="195" fontId="6" fillId="0" borderId="70" xfId="0" applyNumberFormat="1" applyFont="1" applyFill="1" applyBorder="1" applyAlignment="1">
      <alignment vertical="distributed" wrapText="1"/>
    </xf>
    <xf numFmtId="195" fontId="7" fillId="9" borderId="0" xfId="0" applyNumberFormat="1" applyFont="1" applyFill="1" applyBorder="1" applyAlignment="1">
      <alignment vertical="distributed" wrapText="1"/>
    </xf>
    <xf numFmtId="1" fontId="6" fillId="0" borderId="0" xfId="0" applyNumberFormat="1" applyFont="1" applyBorder="1" applyAlignment="1">
      <alignment horizontal="center" shrinkToFit="1"/>
    </xf>
    <xf numFmtId="192" fontId="7" fillId="0" borderId="0" xfId="0" applyNumberFormat="1" applyFont="1" applyBorder="1" applyAlignment="1">
      <alignment vertical="top" wrapText="1" shrinkToFit="1"/>
    </xf>
    <xf numFmtId="0" fontId="3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" fontId="6" fillId="0" borderId="7" xfId="0" applyNumberFormat="1" applyFont="1" applyBorder="1" applyAlignment="1">
      <alignment horizontal="right" shrinkToFit="1"/>
    </xf>
    <xf numFmtId="1" fontId="7" fillId="0" borderId="60" xfId="0" applyNumberFormat="1" applyFont="1" applyBorder="1" applyAlignment="1">
      <alignment horizontal="right" vertical="top" shrinkToFit="1"/>
    </xf>
    <xf numFmtId="1" fontId="7" fillId="0" borderId="33" xfId="0" applyNumberFormat="1" applyFont="1" applyBorder="1" applyAlignment="1">
      <alignment horizontal="right" vertical="top" shrinkToFit="1"/>
    </xf>
    <xf numFmtId="192" fontId="7" fillId="0" borderId="39" xfId="0" applyNumberFormat="1" applyFont="1" applyBorder="1" applyAlignment="1">
      <alignment horizontal="right" shrinkToFit="1"/>
    </xf>
    <xf numFmtId="192" fontId="7" fillId="0" borderId="39" xfId="0" applyNumberFormat="1" applyFont="1" applyBorder="1" applyAlignment="1">
      <alignment vertical="top" wrapText="1" shrinkToFit="1"/>
    </xf>
    <xf numFmtId="1" fontId="15" fillId="0" borderId="0" xfId="0" applyNumberFormat="1" applyFont="1" applyAlignment="1">
      <alignment horizontal="left"/>
    </xf>
    <xf numFmtId="1" fontId="6" fillId="0" borderId="6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top" wrapText="1"/>
    </xf>
    <xf numFmtId="9" fontId="7" fillId="0" borderId="0" xfId="0" applyNumberFormat="1" applyFont="1" applyAlignment="1">
      <alignment horizontal="center"/>
    </xf>
    <xf numFmtId="192" fontId="67" fillId="0" borderId="0" xfId="0" applyNumberFormat="1" applyFont="1" applyAlignment="1">
      <alignment/>
    </xf>
    <xf numFmtId="1" fontId="7" fillId="0" borderId="33" xfId="0" applyNumberFormat="1" applyFont="1" applyBorder="1" applyAlignment="1">
      <alignment horizontal="right" shrinkToFit="1"/>
    </xf>
    <xf numFmtId="192" fontId="16" fillId="3" borderId="5" xfId="0" applyNumberFormat="1" applyFont="1" applyFill="1" applyBorder="1" applyAlignment="1">
      <alignment horizontal="center"/>
    </xf>
    <xf numFmtId="192" fontId="47" fillId="0" borderId="61" xfId="0" applyNumberFormat="1" applyFont="1" applyBorder="1" applyAlignment="1">
      <alignment horizontal="left"/>
    </xf>
    <xf numFmtId="0" fontId="47" fillId="0" borderId="61" xfId="0" applyFont="1" applyBorder="1" applyAlignment="1">
      <alignment vertical="center" wrapText="1"/>
    </xf>
    <xf numFmtId="0" fontId="47" fillId="0" borderId="69" xfId="0" applyFont="1" applyBorder="1" applyAlignment="1">
      <alignment vertical="center" wrapText="1"/>
    </xf>
    <xf numFmtId="0" fontId="0" fillId="0" borderId="39" xfId="0" applyFont="1" applyBorder="1" applyAlignment="1">
      <alignment vertical="distributed" wrapText="1"/>
    </xf>
    <xf numFmtId="0" fontId="0" fillId="0" borderId="31" xfId="0" applyFont="1" applyBorder="1" applyAlignment="1">
      <alignment vertical="distributed" wrapText="1"/>
    </xf>
    <xf numFmtId="192" fontId="47" fillId="0" borderId="59" xfId="0" applyNumberFormat="1" applyFont="1" applyBorder="1" applyAlignment="1">
      <alignment horizontal="left"/>
    </xf>
    <xf numFmtId="195" fontId="7" fillId="10" borderId="0" xfId="0" applyNumberFormat="1" applyFont="1" applyFill="1" applyBorder="1" applyAlignment="1">
      <alignment vertical="distributed" wrapText="1"/>
    </xf>
    <xf numFmtId="192" fontId="68" fillId="0" borderId="0" xfId="0" applyNumberFormat="1" applyFont="1" applyAlignment="1">
      <alignment/>
    </xf>
    <xf numFmtId="192" fontId="7" fillId="0" borderId="34" xfId="0" applyNumberFormat="1" applyFont="1" applyFill="1" applyBorder="1" applyAlignment="1">
      <alignment vertical="distributed" wrapText="1"/>
    </xf>
    <xf numFmtId="192" fontId="7" fillId="11" borderId="0" xfId="0" applyNumberFormat="1" applyFont="1" applyFill="1" applyBorder="1" applyAlignment="1">
      <alignment vertical="distributed" wrapText="1"/>
    </xf>
    <xf numFmtId="192" fontId="7" fillId="12" borderId="0" xfId="0" applyNumberFormat="1" applyFont="1" applyFill="1" applyBorder="1" applyAlignment="1">
      <alignment vertical="distributed" wrapText="1"/>
    </xf>
    <xf numFmtId="192" fontId="7" fillId="0" borderId="0" xfId="0" applyNumberFormat="1" applyFont="1" applyBorder="1" applyAlignment="1">
      <alignment vertical="distributed" wrapText="1"/>
    </xf>
    <xf numFmtId="192" fontId="70" fillId="13" borderId="0" xfId="0" applyNumberFormat="1" applyFont="1" applyFill="1" applyBorder="1" applyAlignment="1">
      <alignment vertical="distributed" wrapText="1"/>
    </xf>
    <xf numFmtId="192" fontId="7" fillId="14" borderId="0" xfId="0" applyNumberFormat="1" applyFont="1" applyFill="1" applyBorder="1" applyAlignment="1">
      <alignment vertical="distributed" wrapText="1"/>
    </xf>
    <xf numFmtId="195" fontId="7" fillId="14" borderId="2" xfId="0" applyNumberFormat="1" applyFont="1" applyFill="1" applyBorder="1" applyAlignment="1">
      <alignment vertical="distributed" wrapText="1"/>
    </xf>
    <xf numFmtId="192" fontId="7" fillId="0" borderId="57" xfId="0" applyNumberFormat="1" applyFont="1" applyFill="1" applyBorder="1" applyAlignment="1">
      <alignment vertical="distributed" wrapText="1"/>
    </xf>
    <xf numFmtId="192" fontId="7" fillId="0" borderId="3" xfId="0" applyNumberFormat="1" applyFont="1" applyFill="1" applyBorder="1" applyAlignment="1">
      <alignment vertical="distributed" wrapText="1"/>
    </xf>
    <xf numFmtId="192" fontId="7" fillId="0" borderId="49" xfId="0" applyNumberFormat="1" applyFont="1" applyFill="1" applyBorder="1" applyAlignment="1">
      <alignment vertical="distributed" wrapText="1"/>
    </xf>
    <xf numFmtId="192" fontId="7" fillId="0" borderId="6" xfId="0" applyNumberFormat="1" applyFont="1" applyFill="1" applyBorder="1" applyAlignment="1">
      <alignment vertical="distributed" wrapText="1"/>
    </xf>
    <xf numFmtId="195" fontId="7" fillId="0" borderId="50" xfId="0" applyNumberFormat="1" applyFont="1" applyBorder="1" applyAlignment="1">
      <alignment vertical="distributed" wrapText="1"/>
    </xf>
    <xf numFmtId="195" fontId="7" fillId="0" borderId="3" xfId="0" applyNumberFormat="1" applyFont="1" applyBorder="1" applyAlignment="1">
      <alignment vertical="distributed" wrapText="1"/>
    </xf>
    <xf numFmtId="195" fontId="7" fillId="0" borderId="5" xfId="0" applyNumberFormat="1" applyFont="1" applyBorder="1" applyAlignment="1">
      <alignment vertical="distributed" wrapText="1"/>
    </xf>
    <xf numFmtId="195" fontId="7" fillId="14" borderId="50" xfId="0" applyNumberFormat="1" applyFont="1" applyFill="1" applyBorder="1" applyAlignment="1">
      <alignment vertical="distributed" wrapText="1"/>
    </xf>
    <xf numFmtId="192" fontId="7" fillId="0" borderId="32" xfId="0" applyNumberFormat="1" applyFont="1" applyFill="1" applyBorder="1" applyAlignment="1">
      <alignment vertical="distributed" wrapText="1"/>
    </xf>
    <xf numFmtId="195" fontId="70" fillId="0" borderId="0" xfId="0" applyNumberFormat="1" applyFont="1" applyFill="1" applyBorder="1" applyAlignment="1">
      <alignment vertical="distributed" wrapText="1"/>
    </xf>
    <xf numFmtId="195" fontId="7" fillId="0" borderId="56" xfId="0" applyNumberFormat="1" applyFont="1" applyBorder="1" applyAlignment="1">
      <alignment vertical="distributed" wrapText="1"/>
    </xf>
    <xf numFmtId="195" fontId="7" fillId="0" borderId="51" xfId="0" applyNumberFormat="1" applyFont="1" applyBorder="1" applyAlignment="1">
      <alignment vertical="distributed" wrapText="1"/>
    </xf>
    <xf numFmtId="195" fontId="6" fillId="0" borderId="28" xfId="0" applyNumberFormat="1" applyFont="1" applyFill="1" applyBorder="1" applyAlignment="1">
      <alignment vertical="distributed" wrapText="1"/>
    </xf>
    <xf numFmtId="195" fontId="6" fillId="0" borderId="34" xfId="0" applyNumberFormat="1" applyFont="1" applyFill="1" applyBorder="1" applyAlignment="1">
      <alignment vertical="distributed" wrapText="1"/>
    </xf>
    <xf numFmtId="195" fontId="6" fillId="0" borderId="60" xfId="0" applyNumberFormat="1" applyFont="1" applyFill="1" applyBorder="1" applyAlignment="1">
      <alignment vertical="distributed" wrapText="1"/>
    </xf>
    <xf numFmtId="195" fontId="6" fillId="0" borderId="32" xfId="0" applyNumberFormat="1" applyFont="1" applyFill="1" applyBorder="1" applyAlignment="1">
      <alignment vertical="distributed" wrapText="1"/>
    </xf>
    <xf numFmtId="192" fontId="7" fillId="0" borderId="50" xfId="0" applyNumberFormat="1" applyFont="1" applyBorder="1" applyAlignment="1">
      <alignment vertical="distributed" wrapText="1"/>
    </xf>
    <xf numFmtId="195" fontId="7" fillId="0" borderId="52" xfId="0" applyNumberFormat="1" applyFont="1" applyBorder="1" applyAlignment="1">
      <alignment vertical="distributed" wrapText="1"/>
    </xf>
    <xf numFmtId="195" fontId="7" fillId="0" borderId="53" xfId="0" applyNumberFormat="1" applyFont="1" applyBorder="1" applyAlignment="1">
      <alignment vertical="distributed" wrapText="1"/>
    </xf>
    <xf numFmtId="195" fontId="46" fillId="0" borderId="0" xfId="0" applyNumberFormat="1" applyFont="1" applyBorder="1" applyAlignment="1">
      <alignment vertical="distributed" wrapText="1"/>
    </xf>
    <xf numFmtId="195" fontId="0" fillId="0" borderId="0" xfId="0" applyNumberFormat="1" applyBorder="1" applyAlignment="1">
      <alignment vertical="distributed" wrapText="1"/>
    </xf>
    <xf numFmtId="195" fontId="5" fillId="0" borderId="2" xfId="0" applyNumberFormat="1" applyFont="1" applyBorder="1" applyAlignment="1">
      <alignment vertical="distributed" wrapText="1"/>
    </xf>
    <xf numFmtId="195" fontId="63" fillId="3" borderId="5" xfId="0" applyNumberFormat="1" applyFont="1" applyFill="1" applyBorder="1" applyAlignment="1">
      <alignment vertical="distributed" wrapText="1"/>
    </xf>
    <xf numFmtId="195" fontId="7" fillId="14" borderId="51" xfId="0" applyNumberFormat="1" applyFont="1" applyFill="1" applyBorder="1" applyAlignment="1">
      <alignment vertical="distributed" wrapText="1"/>
    </xf>
    <xf numFmtId="195" fontId="7" fillId="15" borderId="54" xfId="0" applyNumberFormat="1" applyFont="1" applyFill="1" applyBorder="1" applyAlignment="1">
      <alignment vertical="distributed" wrapText="1"/>
    </xf>
    <xf numFmtId="195" fontId="7" fillId="15" borderId="16" xfId="0" applyNumberFormat="1" applyFont="1" applyFill="1" applyBorder="1" applyAlignment="1">
      <alignment vertical="distributed" wrapText="1"/>
    </xf>
    <xf numFmtId="195" fontId="7" fillId="15" borderId="43" xfId="0" applyNumberFormat="1" applyFont="1" applyFill="1" applyBorder="1" applyAlignment="1">
      <alignment vertical="distributed" wrapText="1"/>
    </xf>
    <xf numFmtId="0" fontId="4" fillId="0" borderId="19" xfId="0" applyFont="1" applyBorder="1" applyAlignment="1">
      <alignment horizontal="center" vertical="center" wrapText="1"/>
    </xf>
    <xf numFmtId="192" fontId="7" fillId="8" borderId="59" xfId="0" applyNumberFormat="1" applyFont="1" applyFill="1" applyBorder="1" applyAlignment="1">
      <alignment vertical="distributed" wrapText="1"/>
    </xf>
    <xf numFmtId="192" fontId="7" fillId="0" borderId="44" xfId="0" applyNumberFormat="1" applyFont="1" applyFill="1" applyBorder="1" applyAlignment="1">
      <alignment vertical="distributed" wrapText="1"/>
    </xf>
    <xf numFmtId="192" fontId="7" fillId="6" borderId="15" xfId="0" applyNumberFormat="1" applyFont="1" applyFill="1" applyBorder="1" applyAlignment="1">
      <alignment vertical="distributed" wrapText="1"/>
    </xf>
    <xf numFmtId="192" fontId="7" fillId="0" borderId="15" xfId="0" applyNumberFormat="1" applyFont="1" applyFill="1" applyBorder="1" applyAlignment="1">
      <alignment vertical="distributed" wrapText="1"/>
    </xf>
    <xf numFmtId="192" fontId="7" fillId="8" borderId="15" xfId="0" applyNumberFormat="1" applyFont="1" applyFill="1" applyBorder="1" applyAlignment="1">
      <alignment vertical="distributed" wrapText="1"/>
    </xf>
    <xf numFmtId="192" fontId="7" fillId="0" borderId="11" xfId="0" applyNumberFormat="1" applyFont="1" applyFill="1" applyBorder="1" applyAlignment="1">
      <alignment vertical="distributed" wrapText="1"/>
    </xf>
    <xf numFmtId="195" fontId="6" fillId="0" borderId="44" xfId="0" applyNumberFormat="1" applyFont="1" applyFill="1" applyBorder="1" applyAlignment="1">
      <alignment vertical="distributed" wrapText="1"/>
    </xf>
    <xf numFmtId="195" fontId="6" fillId="0" borderId="73" xfId="0" applyNumberFormat="1" applyFont="1" applyFill="1" applyBorder="1" applyAlignment="1">
      <alignment vertical="distributed" wrapText="1"/>
    </xf>
    <xf numFmtId="195" fontId="7" fillId="16" borderId="0" xfId="0" applyNumberFormat="1" applyFont="1" applyFill="1" applyBorder="1" applyAlignment="1">
      <alignment vertical="distributed" wrapText="1"/>
    </xf>
    <xf numFmtId="192" fontId="7" fillId="0" borderId="33" xfId="0" applyNumberFormat="1" applyFont="1" applyFill="1" applyBorder="1" applyAlignment="1">
      <alignment vertical="distributed" wrapText="1"/>
    </xf>
    <xf numFmtId="192" fontId="69" fillId="8" borderId="15" xfId="0" applyNumberFormat="1" applyFont="1" applyFill="1" applyBorder="1" applyAlignment="1">
      <alignment vertical="distributed" wrapText="1"/>
    </xf>
    <xf numFmtId="192" fontId="7" fillId="0" borderId="11" xfId="0" applyNumberFormat="1" applyFont="1" applyBorder="1" applyAlignment="1">
      <alignment vertical="distributed" wrapText="1"/>
    </xf>
    <xf numFmtId="192" fontId="69" fillId="7" borderId="15" xfId="0" applyNumberFormat="1" applyFont="1" applyFill="1" applyBorder="1" applyAlignment="1">
      <alignment vertical="distributed" wrapText="1"/>
    </xf>
    <xf numFmtId="192" fontId="69" fillId="0" borderId="15" xfId="0" applyNumberFormat="1" applyFont="1" applyFill="1" applyBorder="1" applyAlignment="1">
      <alignment vertical="distributed" wrapText="1"/>
    </xf>
    <xf numFmtId="192" fontId="7" fillId="14" borderId="11" xfId="0" applyNumberFormat="1" applyFont="1" applyFill="1" applyBorder="1" applyAlignment="1">
      <alignment vertical="distributed" wrapText="1"/>
    </xf>
    <xf numFmtId="192" fontId="69" fillId="0" borderId="14" xfId="0" applyNumberFormat="1" applyFont="1" applyFill="1" applyBorder="1" applyAlignment="1">
      <alignment vertical="distributed" wrapText="1"/>
    </xf>
    <xf numFmtId="192" fontId="70" fillId="13" borderId="11" xfId="0" applyNumberFormat="1" applyFont="1" applyFill="1" applyBorder="1" applyAlignment="1">
      <alignment vertical="distributed" wrapText="1"/>
    </xf>
    <xf numFmtId="192" fontId="7" fillId="0" borderId="10" xfId="0" applyNumberFormat="1" applyFont="1" applyBorder="1" applyAlignment="1">
      <alignment vertical="distributed" wrapText="1"/>
    </xf>
    <xf numFmtId="192" fontId="7" fillId="0" borderId="53" xfId="0" applyNumberFormat="1" applyFont="1" applyBorder="1" applyAlignment="1">
      <alignment vertical="distributed" wrapText="1"/>
    </xf>
    <xf numFmtId="192" fontId="7" fillId="0" borderId="16" xfId="0" applyNumberFormat="1" applyFont="1" applyBorder="1" applyAlignment="1">
      <alignment vertical="distributed" wrapText="1"/>
    </xf>
    <xf numFmtId="192" fontId="7" fillId="0" borderId="43" xfId="0" applyNumberFormat="1" applyFont="1" applyBorder="1" applyAlignment="1">
      <alignment vertical="distributed" wrapText="1"/>
    </xf>
    <xf numFmtId="0" fontId="4" fillId="0" borderId="44" xfId="0" applyFont="1" applyBorder="1" applyAlignment="1">
      <alignment horizontal="center" vertical="center" wrapText="1"/>
    </xf>
    <xf numFmtId="192" fontId="7" fillId="0" borderId="39" xfId="0" applyNumberFormat="1" applyFont="1" applyBorder="1" applyAlignment="1">
      <alignment vertical="distributed" wrapText="1"/>
    </xf>
    <xf numFmtId="195" fontId="6" fillId="0" borderId="33" xfId="0" applyNumberFormat="1" applyFont="1" applyFill="1" applyBorder="1" applyAlignment="1">
      <alignment vertical="distributed" wrapText="1"/>
    </xf>
    <xf numFmtId="192" fontId="70" fillId="13" borderId="15" xfId="0" applyNumberFormat="1" applyFont="1" applyFill="1" applyBorder="1" applyAlignment="1">
      <alignment vertical="distributed" wrapText="1"/>
    </xf>
    <xf numFmtId="195" fontId="7" fillId="13" borderId="51" xfId="0" applyNumberFormat="1" applyFont="1" applyFill="1" applyBorder="1" applyAlignment="1">
      <alignment vertical="distributed" wrapText="1"/>
    </xf>
    <xf numFmtId="195" fontId="7" fillId="13" borderId="2" xfId="0" applyNumberFormat="1" applyFont="1" applyFill="1" applyBorder="1" applyAlignment="1">
      <alignment vertical="distributed" wrapText="1"/>
    </xf>
    <xf numFmtId="195" fontId="7" fillId="13" borderId="50" xfId="0" applyNumberFormat="1" applyFont="1" applyFill="1" applyBorder="1" applyAlignment="1">
      <alignment vertical="distributed" wrapText="1"/>
    </xf>
    <xf numFmtId="195" fontId="7" fillId="8" borderId="51" xfId="0" applyNumberFormat="1" applyFont="1" applyFill="1" applyBorder="1" applyAlignment="1">
      <alignment vertical="distributed" wrapText="1"/>
    </xf>
    <xf numFmtId="195" fontId="7" fillId="0" borderId="57" xfId="0" applyNumberFormat="1" applyFont="1" applyBorder="1" applyAlignment="1">
      <alignment vertical="distributed" wrapText="1"/>
    </xf>
    <xf numFmtId="195" fontId="7" fillId="0" borderId="49" xfId="0" applyNumberFormat="1" applyFont="1" applyBorder="1" applyAlignment="1">
      <alignment vertical="distributed" wrapText="1"/>
    </xf>
    <xf numFmtId="192" fontId="7" fillId="0" borderId="46" xfId="0" applyNumberFormat="1" applyFont="1" applyBorder="1" applyAlignment="1">
      <alignment horizontal="right" vertical="top" shrinkToFit="1"/>
    </xf>
    <xf numFmtId="195" fontId="7" fillId="9" borderId="58" xfId="0" applyNumberFormat="1" applyFont="1" applyFill="1" applyBorder="1" applyAlignment="1">
      <alignment vertical="distributed" wrapText="1"/>
    </xf>
    <xf numFmtId="195" fontId="7" fillId="9" borderId="46" xfId="0" applyNumberFormat="1" applyFont="1" applyFill="1" applyBorder="1" applyAlignment="1">
      <alignment vertical="distributed" wrapText="1"/>
    </xf>
    <xf numFmtId="195" fontId="7" fillId="9" borderId="48" xfId="0" applyNumberFormat="1" applyFont="1" applyFill="1" applyBorder="1" applyAlignment="1">
      <alignment vertical="distributed" wrapText="1"/>
    </xf>
    <xf numFmtId="192" fontId="7" fillId="15" borderId="0" xfId="0" applyNumberFormat="1" applyFont="1" applyFill="1" applyBorder="1" applyAlignment="1">
      <alignment vertical="distributed" wrapText="1"/>
    </xf>
    <xf numFmtId="192" fontId="7" fillId="15" borderId="14" xfId="0" applyNumberFormat="1" applyFont="1" applyFill="1" applyBorder="1" applyAlignment="1">
      <alignment vertical="distributed" wrapText="1"/>
    </xf>
    <xf numFmtId="192" fontId="7" fillId="15" borderId="18" xfId="0" applyNumberFormat="1" applyFont="1" applyFill="1" applyBorder="1" applyAlignment="1">
      <alignment vertical="distributed" wrapText="1"/>
    </xf>
    <xf numFmtId="192" fontId="7" fillId="15" borderId="9" xfId="0" applyNumberFormat="1" applyFont="1" applyFill="1" applyBorder="1" applyAlignment="1">
      <alignment vertical="distributed" wrapText="1"/>
    </xf>
    <xf numFmtId="192" fontId="7" fillId="12" borderId="15" xfId="0" applyNumberFormat="1" applyFont="1" applyFill="1" applyBorder="1" applyAlignment="1">
      <alignment vertical="distributed" wrapText="1"/>
    </xf>
    <xf numFmtId="192" fontId="7" fillId="12" borderId="11" xfId="0" applyNumberFormat="1" applyFont="1" applyFill="1" applyBorder="1" applyAlignment="1">
      <alignment vertical="distributed" wrapText="1"/>
    </xf>
    <xf numFmtId="192" fontId="7" fillId="2" borderId="59" xfId="0" applyNumberFormat="1" applyFont="1" applyFill="1" applyBorder="1" applyAlignment="1">
      <alignment vertical="distributed" wrapText="1"/>
    </xf>
    <xf numFmtId="192" fontId="7" fillId="2" borderId="44" xfId="0" applyNumberFormat="1" applyFont="1" applyFill="1" applyBorder="1" applyAlignment="1">
      <alignment vertical="distributed" wrapText="1"/>
    </xf>
    <xf numFmtId="192" fontId="7" fillId="2" borderId="19" xfId="0" applyNumberFormat="1" applyFont="1" applyFill="1" applyBorder="1" applyAlignment="1">
      <alignment vertical="distributed" wrapText="1"/>
    </xf>
    <xf numFmtId="195" fontId="7" fillId="12" borderId="58" xfId="0" applyNumberFormat="1" applyFont="1" applyFill="1" applyBorder="1" applyAlignment="1">
      <alignment vertical="distributed" wrapText="1"/>
    </xf>
    <xf numFmtId="195" fontId="7" fillId="12" borderId="46" xfId="0" applyNumberFormat="1" applyFont="1" applyFill="1" applyBorder="1" applyAlignment="1">
      <alignment vertical="distributed" wrapText="1"/>
    </xf>
    <xf numFmtId="195" fontId="7" fillId="12" borderId="48" xfId="0" applyNumberFormat="1" applyFont="1" applyFill="1" applyBorder="1" applyAlignment="1">
      <alignment vertical="distributed" wrapText="1"/>
    </xf>
    <xf numFmtId="195" fontId="7" fillId="2" borderId="77" xfId="0" applyNumberFormat="1" applyFont="1" applyFill="1" applyBorder="1" applyAlignment="1">
      <alignment vertical="distributed" wrapText="1"/>
    </xf>
    <xf numFmtId="195" fontId="7" fillId="2" borderId="25" xfId="0" applyNumberFormat="1" applyFont="1" applyFill="1" applyBorder="1" applyAlignment="1">
      <alignment vertical="distributed" wrapText="1"/>
    </xf>
    <xf numFmtId="195" fontId="7" fillId="2" borderId="47" xfId="0" applyNumberFormat="1" applyFont="1" applyFill="1" applyBorder="1" applyAlignment="1">
      <alignment vertical="distributed" wrapText="1"/>
    </xf>
    <xf numFmtId="192" fontId="7" fillId="15" borderId="15" xfId="0" applyNumberFormat="1" applyFont="1" applyFill="1" applyBorder="1" applyAlignment="1">
      <alignment vertical="distributed" wrapText="1"/>
    </xf>
    <xf numFmtId="195" fontId="7" fillId="15" borderId="44" xfId="0" applyNumberFormat="1" applyFont="1" applyFill="1" applyBorder="1" applyAlignment="1">
      <alignment vertical="distributed" wrapText="1"/>
    </xf>
    <xf numFmtId="195" fontId="7" fillId="17" borderId="0" xfId="0" applyNumberFormat="1" applyFont="1" applyFill="1" applyBorder="1" applyAlignment="1">
      <alignment vertical="distributed" wrapText="1"/>
    </xf>
    <xf numFmtId="192" fontId="7" fillId="17" borderId="15" xfId="0" applyNumberFormat="1" applyFont="1" applyFill="1" applyBorder="1" applyAlignment="1">
      <alignment vertical="distributed" wrapText="1"/>
    </xf>
    <xf numFmtId="192" fontId="7" fillId="17" borderId="0" xfId="0" applyNumberFormat="1" applyFont="1" applyFill="1" applyBorder="1" applyAlignment="1">
      <alignment vertical="distributed" wrapText="1"/>
    </xf>
    <xf numFmtId="192" fontId="72" fillId="18" borderId="0" xfId="0" applyNumberFormat="1" applyFont="1" applyFill="1" applyBorder="1" applyAlignment="1">
      <alignment vertical="distributed" wrapText="1"/>
    </xf>
    <xf numFmtId="192" fontId="7" fillId="18" borderId="0" xfId="0" applyNumberFormat="1" applyFont="1" applyFill="1" applyBorder="1" applyAlignment="1">
      <alignment vertical="distributed" wrapText="1"/>
    </xf>
    <xf numFmtId="192" fontId="7" fillId="0" borderId="2" xfId="0" applyNumberFormat="1" applyFont="1" applyBorder="1" applyAlignment="1">
      <alignment horizontal="right" vertical="top" shrinkToFit="1"/>
    </xf>
    <xf numFmtId="192" fontId="7" fillId="0" borderId="3" xfId="0" applyNumberFormat="1" applyFont="1" applyBorder="1" applyAlignment="1">
      <alignment horizontal="right" vertical="top" shrinkToFit="1"/>
    </xf>
    <xf numFmtId="1" fontId="6" fillId="0" borderId="3" xfId="0" applyNumberFormat="1" applyFont="1" applyBorder="1" applyAlignment="1">
      <alignment horizontal="center"/>
    </xf>
    <xf numFmtId="195" fontId="47" fillId="0" borderId="11" xfId="0" applyNumberFormat="1" applyFont="1" applyBorder="1" applyAlignment="1">
      <alignment wrapText="1"/>
    </xf>
    <xf numFmtId="0" fontId="0" fillId="4" borderId="0" xfId="0" applyFont="1" applyFill="1" applyAlignment="1">
      <alignment vertical="distributed" wrapText="1"/>
    </xf>
    <xf numFmtId="195" fontId="48" fillId="3" borderId="5" xfId="0" applyNumberFormat="1" applyFont="1" applyFill="1" applyBorder="1" applyAlignment="1">
      <alignment vertical="distributed" wrapText="1"/>
    </xf>
    <xf numFmtId="0" fontId="0" fillId="0" borderId="66" xfId="0" applyBorder="1" applyAlignment="1">
      <alignment vertical="distributed" wrapText="1"/>
    </xf>
    <xf numFmtId="195" fontId="7" fillId="0" borderId="73" xfId="0" applyNumberFormat="1" applyFont="1" applyFill="1" applyBorder="1" applyAlignment="1">
      <alignment vertical="distributed" wrapText="1"/>
    </xf>
    <xf numFmtId="0" fontId="0" fillId="0" borderId="73" xfId="0" applyBorder="1" applyAlignment="1">
      <alignment vertical="distributed" wrapText="1"/>
    </xf>
    <xf numFmtId="0" fontId="0" fillId="0" borderId="38" xfId="0" applyBorder="1" applyAlignment="1">
      <alignment vertical="distributed" wrapText="1"/>
    </xf>
    <xf numFmtId="195" fontId="5" fillId="0" borderId="46" xfId="0" applyNumberFormat="1" applyFont="1" applyBorder="1" applyAlignment="1">
      <alignment vertical="distributed" wrapText="1"/>
    </xf>
    <xf numFmtId="195" fontId="5" fillId="0" borderId="3" xfId="0" applyNumberFormat="1" applyFont="1" applyBorder="1" applyAlignment="1">
      <alignment vertical="distributed" wrapText="1"/>
    </xf>
    <xf numFmtId="195" fontId="14" fillId="3" borderId="17" xfId="0" applyNumberFormat="1" applyFont="1" applyFill="1" applyBorder="1" applyAlignment="1">
      <alignment vertical="distributed" wrapText="1"/>
    </xf>
    <xf numFmtId="0" fontId="45" fillId="4" borderId="5" xfId="0" applyFont="1" applyFill="1" applyBorder="1" applyAlignment="1">
      <alignment vertical="distributed" wrapText="1"/>
    </xf>
    <xf numFmtId="0" fontId="64" fillId="0" borderId="0" xfId="0" applyFont="1" applyAlignment="1">
      <alignment/>
    </xf>
    <xf numFmtId="195" fontId="40" fillId="0" borderId="0" xfId="0" applyNumberFormat="1" applyFont="1" applyBorder="1" applyAlignment="1">
      <alignment vertical="distributed" wrapText="1"/>
    </xf>
    <xf numFmtId="0" fontId="39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/>
    </xf>
    <xf numFmtId="195" fontId="73" fillId="0" borderId="0" xfId="0" applyNumberFormat="1" applyFont="1" applyFill="1" applyBorder="1" applyAlignment="1">
      <alignment vertical="distributed" wrapText="1"/>
    </xf>
    <xf numFmtId="195" fontId="47" fillId="0" borderId="58" xfId="0" applyNumberFormat="1" applyFont="1" applyBorder="1" applyAlignment="1">
      <alignment vertical="top" wrapText="1"/>
    </xf>
    <xf numFmtId="195" fontId="47" fillId="0" borderId="46" xfId="0" applyNumberFormat="1" applyFont="1" applyBorder="1" applyAlignment="1">
      <alignment vertical="top" wrapText="1"/>
    </xf>
    <xf numFmtId="195" fontId="4" fillId="2" borderId="14" xfId="0" applyNumberFormat="1" applyFont="1" applyFill="1" applyBorder="1" applyAlignment="1">
      <alignment vertical="top" wrapText="1"/>
    </xf>
    <xf numFmtId="195" fontId="4" fillId="0" borderId="14" xfId="0" applyNumberFormat="1" applyFont="1" applyBorder="1" applyAlignment="1">
      <alignment vertical="top" wrapText="1"/>
    </xf>
    <xf numFmtId="195" fontId="4" fillId="0" borderId="9" xfId="0" applyNumberFormat="1" applyFont="1" applyBorder="1" applyAlignment="1">
      <alignment vertical="top" wrapText="1"/>
    </xf>
    <xf numFmtId="195" fontId="32" fillId="2" borderId="14" xfId="0" applyNumberFormat="1" applyFont="1" applyFill="1" applyBorder="1" applyAlignment="1">
      <alignment vertical="top" wrapText="1"/>
    </xf>
    <xf numFmtId="195" fontId="5" fillId="0" borderId="78" xfId="0" applyNumberFormat="1" applyFont="1" applyBorder="1" applyAlignment="1">
      <alignment vertical="top" wrapText="1"/>
    </xf>
    <xf numFmtId="195" fontId="5" fillId="0" borderId="4" xfId="0" applyNumberFormat="1" applyFont="1" applyBorder="1" applyAlignment="1">
      <alignment vertical="top" wrapText="1"/>
    </xf>
    <xf numFmtId="195" fontId="5" fillId="0" borderId="67" xfId="0" applyNumberFormat="1" applyFont="1" applyBorder="1" applyAlignment="1">
      <alignment vertical="top" wrapText="1"/>
    </xf>
    <xf numFmtId="195" fontId="4" fillId="0" borderId="5" xfId="0" applyNumberFormat="1" applyFont="1" applyBorder="1" applyAlignment="1">
      <alignment vertical="top" wrapText="1"/>
    </xf>
    <xf numFmtId="195" fontId="74" fillId="0" borderId="1" xfId="0" applyNumberFormat="1" applyFont="1" applyBorder="1" applyAlignment="1">
      <alignment vertical="top" wrapText="1"/>
    </xf>
    <xf numFmtId="195" fontId="74" fillId="0" borderId="6" xfId="0" applyNumberFormat="1" applyFont="1" applyBorder="1" applyAlignment="1">
      <alignment vertical="top" wrapText="1"/>
    </xf>
    <xf numFmtId="195" fontId="74" fillId="0" borderId="35" xfId="0" applyNumberFormat="1" applyFont="1" applyBorder="1" applyAlignment="1">
      <alignment vertical="top" wrapText="1"/>
    </xf>
    <xf numFmtId="195" fontId="75" fillId="0" borderId="1" xfId="0" applyNumberFormat="1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/>
    </xf>
    <xf numFmtId="0" fontId="7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0" fillId="0" borderId="15" xfId="0" applyFont="1" applyBorder="1" applyAlignment="1">
      <alignment vertical="distributed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0" xfId="0" applyFont="1" applyBorder="1" applyAlignment="1">
      <alignment horizontal="center" vertical="distributed" wrapText="1"/>
    </xf>
    <xf numFmtId="0" fontId="0" fillId="0" borderId="59" xfId="0" applyFont="1" applyBorder="1" applyAlignment="1">
      <alignment vertical="distributed" wrapText="1"/>
    </xf>
    <xf numFmtId="0" fontId="0" fillId="15" borderId="44" xfId="0" applyFont="1" applyFill="1" applyBorder="1" applyAlignment="1">
      <alignment vertical="distributed" wrapText="1"/>
    </xf>
    <xf numFmtId="0" fontId="0" fillId="16" borderId="0" xfId="0" applyFont="1" applyFill="1" applyBorder="1" applyAlignment="1">
      <alignment vertical="distributed" wrapText="1"/>
    </xf>
    <xf numFmtId="0" fontId="0" fillId="10" borderId="0" xfId="0" applyFont="1" applyFill="1" applyBorder="1" applyAlignment="1">
      <alignment vertical="distributed" wrapText="1"/>
    </xf>
    <xf numFmtId="189" fontId="0" fillId="0" borderId="21" xfId="0" applyNumberFormat="1" applyBorder="1" applyAlignment="1">
      <alignment vertical="center"/>
    </xf>
    <xf numFmtId="189" fontId="23" fillId="0" borderId="23" xfId="0" applyNumberFormat="1" applyFont="1" applyBorder="1" applyAlignment="1">
      <alignment vertical="center"/>
    </xf>
    <xf numFmtId="195" fontId="5" fillId="0" borderId="27" xfId="0" applyNumberFormat="1" applyFont="1" applyFill="1" applyBorder="1" applyAlignment="1">
      <alignment vertical="distributed" wrapText="1"/>
    </xf>
    <xf numFmtId="195" fontId="40" fillId="0" borderId="7" xfId="0" applyNumberFormat="1" applyFont="1" applyBorder="1" applyAlignment="1">
      <alignment vertical="distributed" wrapText="1"/>
    </xf>
    <xf numFmtId="195" fontId="73" fillId="0" borderId="6" xfId="0" applyNumberFormat="1" applyFont="1" applyFill="1" applyBorder="1" applyAlignment="1">
      <alignment vertical="distributed" wrapText="1"/>
    </xf>
    <xf numFmtId="0" fontId="80" fillId="0" borderId="0" xfId="0" applyFont="1" applyBorder="1" applyAlignment="1">
      <alignment vertical="center" wrapText="1"/>
    </xf>
    <xf numFmtId="195" fontId="80" fillId="0" borderId="0" xfId="0" applyNumberFormat="1" applyFont="1" applyFill="1" applyBorder="1" applyAlignment="1">
      <alignment vertical="distributed" wrapText="1"/>
    </xf>
    <xf numFmtId="0" fontId="7" fillId="0" borderId="38" xfId="0" applyFont="1" applyFill="1" applyBorder="1" applyAlignment="1">
      <alignment vertical="distributed" wrapText="1"/>
    </xf>
    <xf numFmtId="0" fontId="7" fillId="0" borderId="31" xfId="0" applyFont="1" applyFill="1" applyBorder="1" applyAlignment="1">
      <alignment vertical="distributed" wrapText="1"/>
    </xf>
    <xf numFmtId="0" fontId="47" fillId="0" borderId="59" xfId="0" applyFont="1" applyFill="1" applyBorder="1" applyAlignment="1">
      <alignment vertical="center" wrapText="1"/>
    </xf>
    <xf numFmtId="0" fontId="47" fillId="0" borderId="62" xfId="0" applyFont="1" applyFill="1" applyBorder="1" applyAlignment="1">
      <alignment vertical="center" wrapText="1"/>
    </xf>
    <xf numFmtId="0" fontId="47" fillId="0" borderId="61" xfId="0" applyFont="1" applyFill="1" applyBorder="1" applyAlignment="1">
      <alignment vertical="center" wrapText="1"/>
    </xf>
    <xf numFmtId="0" fontId="47" fillId="0" borderId="68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distributed" wrapText="1"/>
    </xf>
    <xf numFmtId="0" fontId="7" fillId="0" borderId="45" xfId="0" applyFont="1" applyFill="1" applyBorder="1" applyAlignment="1">
      <alignment vertical="distributed" wrapText="1"/>
    </xf>
    <xf numFmtId="0" fontId="7" fillId="0" borderId="70" xfId="0" applyFont="1" applyFill="1" applyBorder="1" applyAlignment="1">
      <alignment vertical="distributed" wrapText="1"/>
    </xf>
    <xf numFmtId="0" fontId="0" fillId="3" borderId="12" xfId="0" applyFont="1" applyFill="1" applyBorder="1" applyAlignment="1">
      <alignment horizontal="center" vertical="distributed" wrapText="1"/>
    </xf>
    <xf numFmtId="0" fontId="0" fillId="3" borderId="8" xfId="0" applyFont="1" applyFill="1" applyBorder="1" applyAlignment="1">
      <alignment horizontal="center" vertical="distributed" wrapText="1"/>
    </xf>
    <xf numFmtId="0" fontId="0" fillId="4" borderId="59" xfId="0" applyFont="1" applyFill="1" applyBorder="1" applyAlignment="1">
      <alignment horizontal="center" vertical="distributed" wrapText="1"/>
    </xf>
    <xf numFmtId="0" fontId="0" fillId="4" borderId="12" xfId="0" applyFont="1" applyFill="1" applyBorder="1" applyAlignment="1">
      <alignment horizontal="center" vertical="distributed" wrapText="1"/>
    </xf>
    <xf numFmtId="0" fontId="0" fillId="4" borderId="8" xfId="0" applyFont="1" applyFill="1" applyBorder="1" applyAlignment="1">
      <alignment horizontal="center" vertical="distributed" wrapText="1"/>
    </xf>
    <xf numFmtId="195" fontId="47" fillId="0" borderId="55" xfId="0" applyNumberFormat="1" applyFont="1" applyFill="1" applyBorder="1" applyAlignment="1">
      <alignment vertical="distributed" wrapText="1"/>
    </xf>
    <xf numFmtId="0" fontId="4" fillId="0" borderId="34" xfId="0" applyFont="1" applyBorder="1" applyAlignment="1">
      <alignment wrapText="1"/>
    </xf>
    <xf numFmtId="195" fontId="4" fillId="0" borderId="1" xfId="0" applyNumberFormat="1" applyFont="1" applyFill="1" applyBorder="1" applyAlignment="1">
      <alignment vertical="distributed" wrapText="1"/>
    </xf>
    <xf numFmtId="195" fontId="73" fillId="0" borderId="5" xfId="0" applyNumberFormat="1" applyFont="1" applyFill="1" applyBorder="1" applyAlignment="1">
      <alignment vertical="distributed" wrapText="1"/>
    </xf>
    <xf numFmtId="195" fontId="81" fillId="0" borderId="1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195" fontId="4" fillId="0" borderId="12" xfId="0" applyNumberFormat="1" applyFont="1" applyBorder="1" applyAlignment="1">
      <alignment wrapText="1"/>
    </xf>
    <xf numFmtId="195" fontId="5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58" xfId="0" applyFont="1" applyBorder="1" applyAlignment="1">
      <alignment vertical="center" wrapText="1"/>
    </xf>
    <xf numFmtId="0" fontId="0" fillId="0" borderId="60" xfId="0" applyBorder="1" applyAlignment="1">
      <alignment vertical="center"/>
    </xf>
    <xf numFmtId="0" fontId="4" fillId="0" borderId="54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0" borderId="57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5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51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7" xfId="0" applyFont="1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4" fillId="0" borderId="5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0" fillId="0" borderId="27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8" fillId="0" borderId="7" xfId="0" applyFont="1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62" xfId="0" applyFont="1" applyFill="1" applyBorder="1" applyAlignment="1">
      <alignment vertical="center" wrapText="1"/>
    </xf>
    <xf numFmtId="0" fontId="0" fillId="0" borderId="70" xfId="0" applyFill="1" applyBorder="1" applyAlignment="1">
      <alignment wrapText="1"/>
    </xf>
    <xf numFmtId="0" fontId="32" fillId="0" borderId="18" xfId="0" applyFont="1" applyBorder="1" applyAlignment="1">
      <alignment vertical="distributed" wrapText="1"/>
    </xf>
    <xf numFmtId="0" fontId="71" fillId="0" borderId="9" xfId="0" applyFont="1" applyBorder="1" applyAlignment="1">
      <alignment vertical="distributed" wrapText="1"/>
    </xf>
    <xf numFmtId="0" fontId="48" fillId="0" borderId="7" xfId="0" applyFont="1" applyFill="1" applyBorder="1" applyAlignment="1">
      <alignment vertical="distributed" wrapText="1"/>
    </xf>
    <xf numFmtId="0" fontId="0" fillId="0" borderId="40" xfId="0" applyBorder="1" applyAlignment="1">
      <alignment vertical="distributed" wrapText="1"/>
    </xf>
    <xf numFmtId="0" fontId="48" fillId="0" borderId="7" xfId="0" applyFont="1" applyBorder="1" applyAlignment="1">
      <alignment horizontal="left" vertical="distributed" wrapText="1"/>
    </xf>
    <xf numFmtId="0" fontId="0" fillId="0" borderId="2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0" fillId="0" borderId="27" xfId="0" applyFont="1" applyBorder="1" applyAlignment="1">
      <alignment vertical="distributed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59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95" fontId="4" fillId="0" borderId="2" xfId="0" applyNumberFormat="1" applyFont="1" applyBorder="1" applyAlignment="1">
      <alignment vertical="top" wrapText="1"/>
    </xf>
    <xf numFmtId="195" fontId="4" fillId="0" borderId="50" xfId="0" applyNumberFormat="1" applyFont="1" applyBorder="1" applyAlignment="1">
      <alignment vertical="top" wrapText="1"/>
    </xf>
    <xf numFmtId="195" fontId="5" fillId="0" borderId="19" xfId="0" applyNumberFormat="1" applyFont="1" applyBorder="1" applyAlignment="1">
      <alignment vertical="top" wrapText="1"/>
    </xf>
    <xf numFmtId="195" fontId="5" fillId="0" borderId="11" xfId="0" applyNumberFormat="1" applyFont="1" applyBorder="1" applyAlignment="1">
      <alignment vertical="top" wrapText="1"/>
    </xf>
    <xf numFmtId="195" fontId="5" fillId="0" borderId="44" xfId="0" applyNumberFormat="1" applyFont="1" applyBorder="1" applyAlignment="1">
      <alignment vertical="top" wrapText="1"/>
    </xf>
    <xf numFmtId="195" fontId="5" fillId="0" borderId="0" xfId="0" applyNumberFormat="1" applyFont="1" applyBorder="1" applyAlignment="1">
      <alignment vertical="top" wrapText="1"/>
    </xf>
    <xf numFmtId="195" fontId="4" fillId="0" borderId="51" xfId="0" applyNumberFormat="1" applyFont="1" applyBorder="1" applyAlignment="1">
      <alignment vertical="top" wrapText="1"/>
    </xf>
    <xf numFmtId="9" fontId="4" fillId="0" borderId="17" xfId="0" applyNumberFormat="1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top" wrapText="1"/>
    </xf>
    <xf numFmtId="195" fontId="5" fillId="0" borderId="59" xfId="0" applyNumberFormat="1" applyFont="1" applyBorder="1" applyAlignment="1">
      <alignment vertical="top" wrapText="1"/>
    </xf>
    <xf numFmtId="195" fontId="5" fillId="0" borderId="15" xfId="0" applyNumberFormat="1" applyFont="1" applyBorder="1" applyAlignment="1">
      <alignment vertical="top" wrapText="1"/>
    </xf>
    <xf numFmtId="195" fontId="5" fillId="0" borderId="17" xfId="0" applyNumberFormat="1" applyFont="1" applyBorder="1" applyAlignment="1">
      <alignment vertical="top" wrapText="1"/>
    </xf>
    <xf numFmtId="195" fontId="5" fillId="0" borderId="12" xfId="0" applyNumberFormat="1" applyFont="1" applyBorder="1" applyAlignment="1">
      <alignment vertical="top" wrapText="1"/>
    </xf>
    <xf numFmtId="195" fontId="4" fillId="0" borderId="17" xfId="0" applyNumberFormat="1" applyFont="1" applyBorder="1" applyAlignment="1">
      <alignment horizontal="center" wrapText="1"/>
    </xf>
    <xf numFmtId="195" fontId="4" fillId="0" borderId="12" xfId="0" applyNumberFormat="1" applyFont="1" applyBorder="1" applyAlignment="1">
      <alignment horizontal="center" wrapText="1"/>
    </xf>
    <xf numFmtId="195" fontId="4" fillId="0" borderId="8" xfId="0" applyNumberFormat="1" applyFont="1" applyBorder="1" applyAlignment="1">
      <alignment horizontal="center" wrapText="1"/>
    </xf>
    <xf numFmtId="195" fontId="4" fillId="0" borderId="7" xfId="0" applyNumberFormat="1" applyFont="1" applyBorder="1" applyAlignment="1">
      <alignment horizontal="center" wrapText="1"/>
    </xf>
    <xf numFmtId="195" fontId="4" fillId="0" borderId="27" xfId="0" applyNumberFormat="1" applyFont="1" applyBorder="1" applyAlignment="1">
      <alignment horizontal="center" wrapText="1"/>
    </xf>
    <xf numFmtId="195" fontId="4" fillId="0" borderId="13" xfId="0" applyNumberFormat="1" applyFont="1" applyBorder="1" applyAlignment="1">
      <alignment horizontal="center" wrapText="1"/>
    </xf>
    <xf numFmtId="195" fontId="5" fillId="0" borderId="17" xfId="0" applyNumberFormat="1" applyFont="1" applyBorder="1" applyAlignment="1">
      <alignment horizontal="center" vertical="top" wrapText="1"/>
    </xf>
    <xf numFmtId="195" fontId="5" fillId="0" borderId="8" xfId="0" applyNumberFormat="1" applyFont="1" applyBorder="1" applyAlignment="1">
      <alignment horizontal="center" vertical="top" wrapText="1"/>
    </xf>
    <xf numFmtId="195" fontId="5" fillId="0" borderId="8" xfId="0" applyNumberFormat="1" applyFont="1" applyBorder="1" applyAlignment="1">
      <alignment vertical="top" wrapText="1"/>
    </xf>
    <xf numFmtId="195" fontId="4" fillId="0" borderId="7" xfId="0" applyNumberFormat="1" applyFont="1" applyBorder="1" applyAlignment="1">
      <alignment horizontal="center" vertical="top" wrapText="1"/>
    </xf>
    <xf numFmtId="195" fontId="4" fillId="0" borderId="27" xfId="0" applyNumberFormat="1" applyFont="1" applyBorder="1" applyAlignment="1">
      <alignment horizontal="center" vertical="top" wrapText="1"/>
    </xf>
    <xf numFmtId="195" fontId="4" fillId="0" borderId="13" xfId="0" applyNumberFormat="1" applyFont="1" applyBorder="1" applyAlignment="1">
      <alignment horizontal="center" vertical="top" wrapText="1"/>
    </xf>
    <xf numFmtId="195" fontId="5" fillId="0" borderId="14" xfId="0" applyNumberFormat="1" applyFont="1" applyBorder="1" applyAlignment="1">
      <alignment vertical="top" wrapText="1"/>
    </xf>
    <xf numFmtId="195" fontId="5" fillId="0" borderId="18" xfId="0" applyNumberFormat="1" applyFont="1" applyBorder="1" applyAlignment="1">
      <alignment vertical="top" wrapText="1"/>
    </xf>
    <xf numFmtId="195" fontId="5" fillId="0" borderId="9" xfId="0" applyNumberFormat="1" applyFont="1" applyBorder="1" applyAlignment="1">
      <alignment vertical="top" wrapText="1"/>
    </xf>
    <xf numFmtId="195" fontId="32" fillId="0" borderId="59" xfId="0" applyNumberFormat="1" applyFont="1" applyBorder="1" applyAlignment="1">
      <alignment vertical="top" wrapText="1"/>
    </xf>
    <xf numFmtId="195" fontId="32" fillId="0" borderId="14" xfId="0" applyNumberFormat="1" applyFont="1" applyBorder="1" applyAlignment="1">
      <alignment vertical="top" wrapText="1"/>
    </xf>
    <xf numFmtId="195" fontId="32" fillId="0" borderId="19" xfId="0" applyNumberFormat="1" applyFont="1" applyBorder="1" applyAlignment="1">
      <alignment vertical="top" wrapText="1"/>
    </xf>
    <xf numFmtId="195" fontId="32" fillId="0" borderId="9" xfId="0" applyNumberFormat="1" applyFont="1" applyBorder="1" applyAlignment="1">
      <alignment vertical="top" wrapText="1"/>
    </xf>
    <xf numFmtId="195" fontId="32" fillId="0" borderId="44" xfId="0" applyNumberFormat="1" applyFont="1" applyBorder="1" applyAlignment="1">
      <alignment vertical="top" wrapText="1"/>
    </xf>
    <xf numFmtId="195" fontId="32" fillId="0" borderId="18" xfId="0" applyNumberFormat="1" applyFont="1" applyBorder="1" applyAlignment="1">
      <alignment vertical="top" wrapText="1"/>
    </xf>
    <xf numFmtId="195" fontId="32" fillId="0" borderId="17" xfId="0" applyNumberFormat="1" applyFont="1" applyBorder="1" applyAlignment="1">
      <alignment vertical="top" wrapText="1"/>
    </xf>
    <xf numFmtId="195" fontId="32" fillId="0" borderId="8" xfId="0" applyNumberFormat="1" applyFont="1" applyBorder="1" applyAlignment="1">
      <alignment vertical="top" wrapText="1"/>
    </xf>
    <xf numFmtId="195" fontId="4" fillId="0" borderId="10" xfId="0" applyNumberFormat="1" applyFont="1" applyBorder="1" applyAlignment="1">
      <alignment vertical="top" wrapText="1"/>
    </xf>
    <xf numFmtId="195" fontId="4" fillId="0" borderId="46" xfId="0" applyNumberFormat="1" applyFont="1" applyBorder="1" applyAlignment="1">
      <alignment vertical="top" wrapText="1"/>
    </xf>
    <xf numFmtId="195" fontId="4" fillId="0" borderId="48" xfId="0" applyNumberFormat="1" applyFont="1" applyBorder="1" applyAlignment="1">
      <alignment vertical="top" wrapText="1"/>
    </xf>
    <xf numFmtId="195" fontId="4" fillId="0" borderId="52" xfId="0" applyNumberFormat="1" applyFont="1" applyBorder="1" applyAlignment="1">
      <alignment vertical="top" wrapText="1"/>
    </xf>
    <xf numFmtId="195" fontId="4" fillId="0" borderId="53" xfId="0" applyNumberFormat="1" applyFont="1" applyBorder="1" applyAlignment="1">
      <alignment vertical="top" wrapText="1"/>
    </xf>
    <xf numFmtId="195" fontId="5" fillId="2" borderId="59" xfId="0" applyNumberFormat="1" applyFont="1" applyFill="1" applyBorder="1" applyAlignment="1">
      <alignment vertical="top" wrapText="1"/>
    </xf>
    <xf numFmtId="195" fontId="5" fillId="2" borderId="15" xfId="0" applyNumberFormat="1" applyFont="1" applyFill="1" applyBorder="1" applyAlignment="1">
      <alignment vertical="top" wrapText="1"/>
    </xf>
    <xf numFmtId="195" fontId="4" fillId="0" borderId="58" xfId="0" applyNumberFormat="1" applyFont="1" applyBorder="1" applyAlignment="1">
      <alignment vertical="top" wrapText="1"/>
    </xf>
    <xf numFmtId="195" fontId="5" fillId="2" borderId="19" xfId="0" applyNumberFormat="1" applyFont="1" applyFill="1" applyBorder="1" applyAlignment="1">
      <alignment vertical="top" wrapText="1"/>
    </xf>
    <xf numFmtId="195" fontId="5" fillId="2" borderId="11" xfId="0" applyNumberFormat="1" applyFont="1" applyFill="1" applyBorder="1" applyAlignment="1">
      <alignment vertical="top" wrapText="1"/>
    </xf>
    <xf numFmtId="195" fontId="5" fillId="2" borderId="9" xfId="0" applyNumberFormat="1" applyFont="1" applyFill="1" applyBorder="1" applyAlignment="1">
      <alignment vertical="top" wrapText="1"/>
    </xf>
    <xf numFmtId="195" fontId="5" fillId="2" borderId="14" xfId="0" applyNumberFormat="1" applyFont="1" applyFill="1" applyBorder="1" applyAlignment="1">
      <alignment vertical="top" wrapText="1"/>
    </xf>
    <xf numFmtId="195" fontId="4" fillId="0" borderId="3" xfId="0" applyNumberFormat="1" applyFont="1" applyBorder="1" applyAlignment="1">
      <alignment vertical="top" wrapText="1"/>
    </xf>
    <xf numFmtId="195" fontId="4" fillId="0" borderId="49" xfId="0" applyNumberFormat="1" applyFont="1" applyBorder="1" applyAlignment="1">
      <alignment vertical="top" wrapText="1"/>
    </xf>
    <xf numFmtId="195" fontId="4" fillId="2" borderId="49" xfId="0" applyNumberFormat="1" applyFont="1" applyFill="1" applyBorder="1" applyAlignment="1">
      <alignment vertical="top" wrapText="1"/>
    </xf>
    <xf numFmtId="195" fontId="4" fillId="2" borderId="48" xfId="0" applyNumberFormat="1" applyFont="1" applyFill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46" xfId="0" applyNumberFormat="1" applyFont="1" applyBorder="1" applyAlignment="1">
      <alignment vertical="top" wrapText="1"/>
    </xf>
    <xf numFmtId="3" fontId="4" fillId="0" borderId="33" xfId="0" applyNumberFormat="1" applyFont="1" applyBorder="1" applyAlignment="1">
      <alignment vertical="top" wrapText="1"/>
    </xf>
    <xf numFmtId="3" fontId="4" fillId="0" borderId="60" xfId="0" applyNumberFormat="1" applyFont="1" applyBorder="1" applyAlignment="1">
      <alignment vertical="top" wrapText="1"/>
    </xf>
    <xf numFmtId="195" fontId="4" fillId="2" borderId="24" xfId="0" applyNumberFormat="1" applyFont="1" applyFill="1" applyBorder="1" applyAlignment="1">
      <alignment vertical="top" wrapText="1"/>
    </xf>
    <xf numFmtId="195" fontId="4" fillId="2" borderId="22" xfId="0" applyNumberFormat="1" applyFont="1" applyFill="1" applyBorder="1" applyAlignment="1">
      <alignment vertical="top" wrapText="1"/>
    </xf>
    <xf numFmtId="195" fontId="4" fillId="0" borderId="57" xfId="0" applyNumberFormat="1" applyFont="1" applyBorder="1" applyAlignment="1">
      <alignment vertical="top" wrapText="1"/>
    </xf>
    <xf numFmtId="195" fontId="4" fillId="0" borderId="11" xfId="0" applyNumberFormat="1" applyFont="1" applyBorder="1" applyAlignment="1">
      <alignment vertical="top" wrapText="1"/>
    </xf>
    <xf numFmtId="195" fontId="4" fillId="0" borderId="0" xfId="0" applyNumberFormat="1" applyFont="1" applyBorder="1" applyAlignment="1">
      <alignment vertical="top" wrapText="1"/>
    </xf>
    <xf numFmtId="195" fontId="5" fillId="2" borderId="0" xfId="0" applyNumberFormat="1" applyFont="1" applyFill="1" applyBorder="1" applyAlignment="1">
      <alignment vertical="top" wrapText="1"/>
    </xf>
    <xf numFmtId="195" fontId="4" fillId="0" borderId="15" xfId="0" applyNumberFormat="1" applyFont="1" applyBorder="1" applyAlignment="1">
      <alignment vertical="top" wrapText="1"/>
    </xf>
    <xf numFmtId="195" fontId="4" fillId="2" borderId="15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95" fontId="5" fillId="2" borderId="12" xfId="0" applyNumberFormat="1" applyFont="1" applyFill="1" applyBorder="1" applyAlignment="1">
      <alignment vertical="top" wrapText="1"/>
    </xf>
    <xf numFmtId="195" fontId="5" fillId="2" borderId="8" xfId="0" applyNumberFormat="1" applyFont="1" applyFill="1" applyBorder="1" applyAlignment="1">
      <alignment vertical="top" wrapText="1"/>
    </xf>
    <xf numFmtId="195" fontId="5" fillId="0" borderId="7" xfId="0" applyNumberFormat="1" applyFont="1" applyBorder="1" applyAlignment="1">
      <alignment horizontal="center" vertical="top" wrapText="1"/>
    </xf>
    <xf numFmtId="195" fontId="5" fillId="0" borderId="27" xfId="0" applyNumberFormat="1" applyFont="1" applyBorder="1" applyAlignment="1">
      <alignment horizontal="center" vertical="top" wrapText="1"/>
    </xf>
    <xf numFmtId="195" fontId="5" fillId="2" borderId="44" xfId="0" applyNumberFormat="1" applyFont="1" applyFill="1" applyBorder="1" applyAlignment="1">
      <alignment vertical="top" wrapText="1"/>
    </xf>
    <xf numFmtId="195" fontId="5" fillId="2" borderId="18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5" fillId="2" borderId="1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95" fontId="5" fillId="0" borderId="44" xfId="0" applyNumberFormat="1" applyFont="1" applyBorder="1" applyAlignment="1">
      <alignment horizontal="center" vertical="top" wrapText="1"/>
    </xf>
    <xf numFmtId="195" fontId="5" fillId="2" borderId="17" xfId="0" applyNumberFormat="1" applyFont="1" applyFill="1" applyBorder="1" applyAlignment="1">
      <alignment vertical="top" wrapText="1"/>
    </xf>
    <xf numFmtId="195" fontId="4" fillId="2" borderId="33" xfId="0" applyNumberFormat="1" applyFont="1" applyFill="1" applyBorder="1" applyAlignment="1">
      <alignment vertical="top" wrapText="1"/>
    </xf>
    <xf numFmtId="195" fontId="4" fillId="2" borderId="6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right" vertical="justify"/>
    </xf>
    <xf numFmtId="0" fontId="0" fillId="0" borderId="0" xfId="0" applyAlignment="1">
      <alignment vertical="justify"/>
    </xf>
    <xf numFmtId="0" fontId="4" fillId="0" borderId="18" xfId="0" applyFont="1" applyBorder="1" applyAlignment="1">
      <alignment vertical="justify"/>
    </xf>
    <xf numFmtId="0" fontId="0" fillId="0" borderId="18" xfId="0" applyBorder="1" applyAlignment="1">
      <alignment vertical="justify"/>
    </xf>
    <xf numFmtId="195" fontId="4" fillId="0" borderId="17" xfId="0" applyNumberFormat="1" applyFont="1" applyBorder="1" applyAlignment="1">
      <alignment vertical="justify" wrapText="1"/>
    </xf>
    <xf numFmtId="195" fontId="4" fillId="0" borderId="12" xfId="0" applyNumberFormat="1" applyFont="1" applyBorder="1" applyAlignment="1">
      <alignment vertical="justify" wrapText="1"/>
    </xf>
    <xf numFmtId="192" fontId="57" fillId="0" borderId="7" xfId="0" applyNumberFormat="1" applyFont="1" applyBorder="1" applyAlignment="1">
      <alignment horizontal="center" shrinkToFit="1"/>
    </xf>
    <xf numFmtId="0" fontId="38" fillId="0" borderId="27" xfId="0" applyFont="1" applyBorder="1" applyAlignment="1">
      <alignment horizontal="center" shrinkToFit="1"/>
    </xf>
    <xf numFmtId="0" fontId="38" fillId="0" borderId="13" xfId="0" applyFont="1" applyBorder="1" applyAlignment="1">
      <alignment horizontal="center" shrinkToFit="1"/>
    </xf>
    <xf numFmtId="192" fontId="14" fillId="0" borderId="27" xfId="0" applyNumberFormat="1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192" fontId="5" fillId="0" borderId="18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192" fontId="6" fillId="0" borderId="0" xfId="0" applyNumberFormat="1" applyFont="1" applyBorder="1" applyAlignment="1">
      <alignment horizontal="center" shrinkToFit="1"/>
    </xf>
    <xf numFmtId="192" fontId="7" fillId="0" borderId="46" xfId="0" applyNumberFormat="1" applyFont="1" applyBorder="1" applyAlignment="1">
      <alignment horizontal="right" vertical="top" shrinkToFit="1"/>
    </xf>
    <xf numFmtId="0" fontId="0" fillId="0" borderId="3" xfId="0" applyBorder="1" applyAlignment="1">
      <alignment horizontal="right" vertical="top" shrinkToFit="1"/>
    </xf>
    <xf numFmtId="1" fontId="7" fillId="0" borderId="2" xfId="0" applyNumberFormat="1" applyFont="1" applyBorder="1" applyAlignment="1">
      <alignment horizontal="center" vertical="top" wrapText="1"/>
    </xf>
    <xf numFmtId="192" fontId="7" fillId="0" borderId="2" xfId="0" applyNumberFormat="1" applyFont="1" applyBorder="1" applyAlignment="1">
      <alignment horizontal="right" vertical="top" wrapText="1"/>
    </xf>
    <xf numFmtId="1" fontId="7" fillId="0" borderId="34" xfId="0" applyNumberFormat="1" applyFont="1" applyBorder="1" applyAlignment="1">
      <alignment horizontal="right" vertical="top" shrinkToFit="1"/>
    </xf>
    <xf numFmtId="192" fontId="54" fillId="0" borderId="46" xfId="0" applyNumberFormat="1" applyFont="1" applyBorder="1" applyAlignment="1">
      <alignment horizontal="center" vertical="top" wrapText="1"/>
    </xf>
    <xf numFmtId="192" fontId="54" fillId="0" borderId="3" xfId="0" applyNumberFormat="1" applyFont="1" applyBorder="1" applyAlignment="1">
      <alignment horizontal="center" vertical="top" wrapText="1"/>
    </xf>
    <xf numFmtId="1" fontId="7" fillId="0" borderId="46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0" fontId="0" fillId="4" borderId="42" xfId="0" applyFont="1" applyFill="1" applyBorder="1" applyAlignment="1">
      <alignment vertical="center"/>
    </xf>
    <xf numFmtId="195" fontId="62" fillId="4" borderId="47" xfId="0" applyNumberFormat="1" applyFont="1" applyFill="1" applyBorder="1" applyAlignment="1">
      <alignment vertical="center"/>
    </xf>
    <xf numFmtId="192" fontId="1" fillId="4" borderId="55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95" fontId="51" fillId="0" borderId="0" xfId="0" applyNumberFormat="1" applyFont="1" applyBorder="1" applyAlignment="1">
      <alignment wrapText="1"/>
    </xf>
    <xf numFmtId="195" fontId="41" fillId="3" borderId="21" xfId="0" applyNumberFormat="1" applyFont="1" applyFill="1" applyBorder="1" applyAlignment="1">
      <alignment wrapText="1"/>
    </xf>
    <xf numFmtId="195" fontId="32" fillId="0" borderId="0" xfId="0" applyNumberFormat="1" applyFont="1" applyBorder="1" applyAlignment="1">
      <alignment wrapText="1"/>
    </xf>
    <xf numFmtId="195" fontId="5" fillId="0" borderId="0" xfId="0" applyNumberFormat="1" applyFont="1" applyBorder="1" applyAlignment="1">
      <alignment wrapText="1"/>
    </xf>
    <xf numFmtId="195" fontId="5" fillId="0" borderId="18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Экономические показатели за 1 год проекта по месяцам</a:t>
            </a:r>
          </a:p>
        </c:rich>
      </c:tx>
      <c:layout>
        <c:manualLayout>
          <c:xMode val="factor"/>
          <c:yMode val="factor"/>
          <c:x val="0.05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9"/>
          <c:w val="0.928"/>
          <c:h val="0.70775"/>
        </c:manualLayout>
      </c:layout>
      <c:lineChart>
        <c:grouping val="standard"/>
        <c:varyColors val="0"/>
        <c:ser>
          <c:idx val="0"/>
          <c:order val="0"/>
          <c:tx>
            <c:v>Накопленое сальдо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9!$C$53:$N$53</c:f>
              <c:numCache>
                <c:ptCount val="12"/>
                <c:pt idx="0">
                  <c:v>12.20898616935245</c:v>
                </c:pt>
                <c:pt idx="1">
                  <c:v>36.98083228857017</c:v>
                </c:pt>
                <c:pt idx="2">
                  <c:v>48.07505214204778</c:v>
                </c:pt>
                <c:pt idx="3">
                  <c:v>73.76485035860232</c:v>
                </c:pt>
                <c:pt idx="4">
                  <c:v>85.91564616490044</c:v>
                </c:pt>
                <c:pt idx="5">
                  <c:v>88.68201001900385</c:v>
                </c:pt>
                <c:pt idx="6">
                  <c:v>390.63289984007815</c:v>
                </c:pt>
                <c:pt idx="7">
                  <c:v>309.325110113999</c:v>
                </c:pt>
                <c:pt idx="8">
                  <c:v>242.35901330074043</c:v>
                </c:pt>
                <c:pt idx="9">
                  <c:v>175.61721100030235</c:v>
                </c:pt>
                <c:pt idx="10">
                  <c:v>109.09970321268479</c:v>
                </c:pt>
                <c:pt idx="11">
                  <c:v>132.33060988573646</c:v>
                </c:pt>
              </c:numCache>
            </c:numRef>
          </c:val>
          <c:smooth val="0"/>
        </c:ser>
        <c:ser>
          <c:idx val="1"/>
          <c:order val="1"/>
          <c:tx>
            <c:v>Этапы финансирования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'Этапы финансирования'!$D$7:$J$7</c:f>
              <c:numCache/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yr"/>
                    <a:ea typeface="Arial Cyr"/>
                    <a:cs typeface="Arial Cyr"/>
                  </a:rPr>
                  <a:t>месяц проекта</a:t>
                </a:r>
              </a:p>
            </c:rich>
          </c:tx>
          <c:layout>
            <c:manualLayout>
              <c:xMode val="factor"/>
              <c:yMode val="factor"/>
              <c:x val="0.013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тыс.$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85025"/>
          <c:w val="0.77975"/>
          <c:h val="0.0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Сальдо потока нарастающим итогом (1 год)</a:t>
            </a:r>
          </a:p>
        </c:rich>
      </c:tx>
      <c:layout>
        <c:manualLayout>
          <c:xMode val="factor"/>
          <c:yMode val="factor"/>
          <c:x val="-0.018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85"/>
          <c:w val="0.718"/>
          <c:h val="0.66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9!$C$53:$N$53</c:f>
              <c:numCache/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Точка безубыточности</a:t>
                </a:r>
              </a:p>
            </c:rich>
          </c:tx>
          <c:layout>
            <c:manualLayout>
              <c:xMode val="factor"/>
              <c:yMode val="factor"/>
              <c:x val="0.07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тыс.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0.2685</cdr:y>
    </cdr:from>
    <cdr:to>
      <cdr:x>0.987</cdr:x>
      <cdr:y>0.53675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1000125"/>
          <a:ext cx="838200" cy="1000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 Cyr"/>
              <a:ea typeface="Arial Cyr"/>
              <a:cs typeface="Arial Cyr"/>
            </a:rPr>
            <a:t>продажа 
2-х установок и возврат кредита</a:t>
          </a:r>
        </a:p>
      </cdr:txBody>
    </cdr:sp>
  </cdr:relSizeAnchor>
  <cdr:relSizeAnchor xmlns:cdr="http://schemas.openxmlformats.org/drawingml/2006/chartDrawing">
    <cdr:from>
      <cdr:x>0.62875</cdr:x>
      <cdr:y>0.17075</cdr:y>
    </cdr:from>
    <cdr:to>
      <cdr:x>0.88925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638175"/>
          <a:ext cx="1809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 Cyr"/>
              <a:ea typeface="Arial Cyr"/>
              <a:cs typeface="Arial Cyr"/>
            </a:rPr>
            <a:t>продажа 1-й установки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6</xdr:row>
      <xdr:rowOff>9525</xdr:rowOff>
    </xdr:from>
    <xdr:to>
      <xdr:col>22</xdr:col>
      <xdr:colOff>466725</xdr:colOff>
      <xdr:row>26</xdr:row>
      <xdr:rowOff>200025</xdr:rowOff>
    </xdr:to>
    <xdr:graphicFrame>
      <xdr:nvGraphicFramePr>
        <xdr:cNvPr id="1" name="Chart 4"/>
        <xdr:cNvGraphicFramePr/>
      </xdr:nvGraphicFramePr>
      <xdr:xfrm>
        <a:off x="9601200" y="1114425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28</xdr:row>
      <xdr:rowOff>0</xdr:rowOff>
    </xdr:from>
    <xdr:to>
      <xdr:col>22</xdr:col>
      <xdr:colOff>971550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15011400" y="8229600"/>
        <a:ext cx="8458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12.75"/>
  <cols>
    <col min="1" max="1" width="5.75390625" style="39" customWidth="1"/>
    <col min="2" max="2" width="44.25390625" style="31" customWidth="1"/>
    <col min="3" max="3" width="11.25390625" style="31" customWidth="1"/>
    <col min="4" max="4" width="9.00390625" style="31" customWidth="1"/>
    <col min="5" max="5" width="8.375" style="31" customWidth="1"/>
    <col min="6" max="6" width="8.25390625" style="31" customWidth="1"/>
    <col min="7" max="7" width="8.875" style="31" customWidth="1"/>
    <col min="8" max="8" width="8.75390625" style="31" customWidth="1"/>
    <col min="9" max="9" width="9.00390625" style="31" customWidth="1"/>
    <col min="10" max="10" width="8.375" style="31" customWidth="1"/>
    <col min="11" max="11" width="8.25390625" style="31" customWidth="1"/>
    <col min="12" max="12" width="8.875" style="31" customWidth="1"/>
    <col min="13" max="13" width="8.375" style="31" customWidth="1"/>
    <col min="14" max="15" width="8.25390625" style="31" customWidth="1"/>
    <col min="16" max="16" width="6.875" style="31" customWidth="1"/>
    <col min="17" max="23" width="6.75390625" style="31" customWidth="1"/>
    <col min="24" max="16384" width="9.125" style="31" customWidth="1"/>
  </cols>
  <sheetData>
    <row r="1" spans="2:14" ht="15.75">
      <c r="B1" s="30" t="s">
        <v>386</v>
      </c>
      <c r="J1" s="32" t="s">
        <v>487</v>
      </c>
      <c r="N1" s="30" t="s">
        <v>368</v>
      </c>
    </row>
    <row r="2" ht="5.25" customHeight="1" thickBot="1"/>
    <row r="3" spans="2:23" s="39" customFormat="1" ht="16.5" thickBot="1">
      <c r="B3" s="1192" t="s">
        <v>111</v>
      </c>
      <c r="C3" s="1214" t="s">
        <v>1</v>
      </c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6"/>
      <c r="P3" s="1214" t="s">
        <v>44</v>
      </c>
      <c r="Q3" s="1227"/>
      <c r="R3" s="1227"/>
      <c r="S3" s="1227"/>
      <c r="T3" s="1228"/>
      <c r="U3" s="72" t="s">
        <v>46</v>
      </c>
      <c r="V3" s="72" t="s">
        <v>317</v>
      </c>
      <c r="W3" s="72" t="s">
        <v>318</v>
      </c>
    </row>
    <row r="4" spans="2:23" s="39" customFormat="1" ht="16.5" thickBot="1">
      <c r="B4" s="1193"/>
      <c r="C4" s="1192" t="s">
        <v>112</v>
      </c>
      <c r="D4" s="1214" t="s">
        <v>292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6"/>
      <c r="P4" s="116" t="s">
        <v>112</v>
      </c>
      <c r="Q4" s="1214" t="s">
        <v>113</v>
      </c>
      <c r="R4" s="1215"/>
      <c r="S4" s="1215"/>
      <c r="T4" s="1216"/>
      <c r="U4" s="116" t="s">
        <v>112</v>
      </c>
      <c r="V4" s="116" t="s">
        <v>112</v>
      </c>
      <c r="W4" s="116" t="s">
        <v>112</v>
      </c>
    </row>
    <row r="5" spans="2:23" s="39" customFormat="1" ht="16.5" thickBot="1">
      <c r="B5" s="1194"/>
      <c r="C5" s="1194"/>
      <c r="D5" s="38" t="s">
        <v>114</v>
      </c>
      <c r="E5" s="38" t="s">
        <v>115</v>
      </c>
      <c r="F5" s="38" t="s">
        <v>116</v>
      </c>
      <c r="G5" s="38" t="s">
        <v>117</v>
      </c>
      <c r="H5" s="38" t="s">
        <v>284</v>
      </c>
      <c r="I5" s="38" t="s">
        <v>285</v>
      </c>
      <c r="J5" s="38" t="s">
        <v>286</v>
      </c>
      <c r="K5" s="38" t="s">
        <v>287</v>
      </c>
      <c r="L5" s="38" t="s">
        <v>288</v>
      </c>
      <c r="M5" s="38" t="s">
        <v>289</v>
      </c>
      <c r="N5" s="38" t="s">
        <v>290</v>
      </c>
      <c r="O5" s="38" t="s">
        <v>291</v>
      </c>
      <c r="P5" s="37"/>
      <c r="Q5" s="38" t="s">
        <v>114</v>
      </c>
      <c r="R5" s="38" t="s">
        <v>115</v>
      </c>
      <c r="S5" s="38" t="s">
        <v>116</v>
      </c>
      <c r="T5" s="38" t="s">
        <v>117</v>
      </c>
      <c r="U5" s="37"/>
      <c r="V5" s="37"/>
      <c r="W5" s="37"/>
    </row>
    <row r="6" spans="2:23" s="39" customFormat="1" ht="16.5" thickBot="1">
      <c r="B6" s="1076">
        <v>1</v>
      </c>
      <c r="C6" s="320">
        <v>2</v>
      </c>
      <c r="D6" s="320">
        <v>3</v>
      </c>
      <c r="E6" s="320">
        <v>4</v>
      </c>
      <c r="F6" s="320">
        <v>5</v>
      </c>
      <c r="G6" s="116">
        <v>6</v>
      </c>
      <c r="H6" s="320">
        <v>7</v>
      </c>
      <c r="I6" s="320">
        <v>8</v>
      </c>
      <c r="J6" s="320">
        <v>9</v>
      </c>
      <c r="K6" s="320">
        <v>10</v>
      </c>
      <c r="L6" s="320">
        <v>11</v>
      </c>
      <c r="M6" s="320">
        <v>12</v>
      </c>
      <c r="N6" s="320">
        <v>13</v>
      </c>
      <c r="O6" s="116">
        <v>14</v>
      </c>
      <c r="P6" s="320">
        <v>15</v>
      </c>
      <c r="Q6" s="320">
        <v>16</v>
      </c>
      <c r="R6" s="320">
        <v>17</v>
      </c>
      <c r="S6" s="320">
        <v>18</v>
      </c>
      <c r="T6" s="320">
        <v>19</v>
      </c>
      <c r="U6" s="320">
        <v>20</v>
      </c>
      <c r="V6" s="320">
        <v>21</v>
      </c>
      <c r="W6" s="320">
        <v>22</v>
      </c>
    </row>
    <row r="7" spans="1:23" s="484" customFormat="1" ht="30.75" customHeight="1" thickBot="1">
      <c r="A7" s="666"/>
      <c r="B7" s="34" t="s">
        <v>482</v>
      </c>
      <c r="C7" s="1118">
        <f>SUM(D7:J7)</f>
        <v>505</v>
      </c>
      <c r="D7" s="1119">
        <f>'2-инвестиции'!D47</f>
        <v>55</v>
      </c>
      <c r="E7" s="1119">
        <f>'2-инвестиции'!E47</f>
        <v>90</v>
      </c>
      <c r="F7" s="1119">
        <f>'2-инвестиции'!F47</f>
        <v>60</v>
      </c>
      <c r="G7" s="1119">
        <f>'2-инвестиции'!G47</f>
        <v>100</v>
      </c>
      <c r="H7" s="1119">
        <f>'2-инвестиции'!H47</f>
        <v>75</v>
      </c>
      <c r="I7" s="1119">
        <f>'2-инвестиции'!I47</f>
        <v>60</v>
      </c>
      <c r="J7" s="1139">
        <f>'2-инвестиции'!J47</f>
        <v>65</v>
      </c>
      <c r="K7" s="1117"/>
      <c r="L7" s="448"/>
      <c r="M7" s="448"/>
      <c r="N7" s="448"/>
      <c r="O7" s="778"/>
      <c r="P7" s="445"/>
      <c r="Q7" s="445"/>
      <c r="R7" s="445"/>
      <c r="S7" s="446"/>
      <c r="T7" s="445"/>
      <c r="U7" s="445"/>
      <c r="V7" s="445"/>
      <c r="W7" s="445"/>
    </row>
    <row r="8" spans="1:23" s="484" customFormat="1" ht="22.5" customHeight="1" thickBot="1">
      <c r="A8" s="666"/>
      <c r="B8" s="1120"/>
      <c r="C8" s="1121"/>
      <c r="D8" s="483"/>
      <c r="E8" s="483"/>
      <c r="F8" s="483"/>
      <c r="G8" s="483"/>
      <c r="H8" s="483"/>
      <c r="I8" s="483"/>
      <c r="J8" s="483"/>
      <c r="K8" s="483"/>
      <c r="L8" s="446"/>
      <c r="M8" s="446"/>
      <c r="N8" s="446"/>
      <c r="O8" s="446"/>
      <c r="P8" s="445"/>
      <c r="Q8" s="445"/>
      <c r="R8" s="445"/>
      <c r="S8" s="446"/>
      <c r="T8" s="445"/>
      <c r="U8" s="445"/>
      <c r="V8" s="445"/>
      <c r="W8" s="445"/>
    </row>
    <row r="9" spans="1:23" s="1106" customFormat="1" ht="16.5" customHeight="1" thickBot="1">
      <c r="A9" s="1110"/>
      <c r="B9" s="930"/>
      <c r="C9" s="685"/>
      <c r="D9" s="1214" t="s">
        <v>292</v>
      </c>
      <c r="E9" s="1215"/>
      <c r="F9" s="1215"/>
      <c r="G9" s="1215"/>
      <c r="H9" s="1215"/>
      <c r="I9" s="1215"/>
      <c r="J9" s="1215"/>
      <c r="K9" s="1215"/>
      <c r="L9" s="1215"/>
      <c r="M9" s="1215"/>
      <c r="N9" s="1215"/>
      <c r="O9" s="1216"/>
      <c r="P9" s="485"/>
      <c r="Q9" s="1214" t="s">
        <v>113</v>
      </c>
      <c r="R9" s="1215"/>
      <c r="S9" s="1215"/>
      <c r="T9" s="1216"/>
      <c r="U9" s="980"/>
      <c r="V9" s="816"/>
      <c r="W9" s="980"/>
    </row>
    <row r="10" spans="1:23" s="1106" customFormat="1" ht="12.75" customHeight="1" thickBot="1">
      <c r="A10" s="1110" t="s">
        <v>4</v>
      </c>
      <c r="B10" s="1219" t="s">
        <v>441</v>
      </c>
      <c r="C10" s="1220"/>
      <c r="D10" s="116" t="s">
        <v>114</v>
      </c>
      <c r="E10" s="1001" t="s">
        <v>115</v>
      </c>
      <c r="F10" s="1001" t="s">
        <v>116</v>
      </c>
      <c r="G10" s="1001" t="s">
        <v>117</v>
      </c>
      <c r="H10" s="1001" t="s">
        <v>284</v>
      </c>
      <c r="I10" s="1001" t="s">
        <v>285</v>
      </c>
      <c r="J10" s="1001" t="s">
        <v>286</v>
      </c>
      <c r="K10" s="116" t="s">
        <v>287</v>
      </c>
      <c r="L10" s="1001" t="s">
        <v>288</v>
      </c>
      <c r="M10" s="1001" t="s">
        <v>289</v>
      </c>
      <c r="N10" s="1001" t="s">
        <v>290</v>
      </c>
      <c r="O10" s="1001" t="s">
        <v>291</v>
      </c>
      <c r="P10" s="658"/>
      <c r="Q10" s="37" t="s">
        <v>114</v>
      </c>
      <c r="R10" s="38" t="s">
        <v>115</v>
      </c>
      <c r="S10" s="38" t="s">
        <v>116</v>
      </c>
      <c r="T10" s="38" t="s">
        <v>117</v>
      </c>
      <c r="U10" s="72" t="s">
        <v>46</v>
      </c>
      <c r="V10" s="72" t="s">
        <v>317</v>
      </c>
      <c r="W10" s="72" t="s">
        <v>318</v>
      </c>
    </row>
    <row r="11" spans="1:23" s="1106" customFormat="1" ht="18.75" customHeight="1" thickBot="1">
      <c r="A11" s="1109"/>
      <c r="B11" s="1223" t="s">
        <v>442</v>
      </c>
      <c r="C11" s="1224"/>
      <c r="D11" s="1224"/>
      <c r="E11" s="1224"/>
      <c r="F11" s="1224"/>
      <c r="G11" s="1224"/>
      <c r="H11" s="1224"/>
      <c r="I11" s="1224"/>
      <c r="J11" s="1225"/>
      <c r="K11" s="901"/>
      <c r="L11" s="1023"/>
      <c r="M11" s="1023"/>
      <c r="N11" s="1023"/>
      <c r="O11" s="1001"/>
      <c r="P11" s="658"/>
      <c r="Q11" s="902"/>
      <c r="R11" s="903"/>
      <c r="S11" s="903"/>
      <c r="T11" s="72"/>
      <c r="U11" s="1023"/>
      <c r="V11" s="1023"/>
      <c r="W11" s="1001"/>
    </row>
    <row r="12" spans="1:23" s="1106" customFormat="1" ht="12.75" customHeight="1">
      <c r="A12" s="1131">
        <v>1</v>
      </c>
      <c r="B12" s="1128" t="s">
        <v>400</v>
      </c>
      <c r="C12" s="986"/>
      <c r="D12" s="1002"/>
      <c r="E12" s="1003"/>
      <c r="F12" s="1003"/>
      <c r="G12" s="1003"/>
      <c r="H12" s="1003"/>
      <c r="I12" s="1003"/>
      <c r="J12" s="1003"/>
      <c r="K12" s="916"/>
      <c r="L12" s="1019"/>
      <c r="M12" s="1019"/>
      <c r="N12" s="1019"/>
      <c r="O12" s="1020"/>
      <c r="P12" s="658"/>
      <c r="Q12" s="1031"/>
      <c r="R12" s="979"/>
      <c r="S12" s="979"/>
      <c r="T12" s="1032"/>
      <c r="U12" s="991"/>
      <c r="V12" s="769"/>
      <c r="W12" s="992"/>
    </row>
    <row r="13" spans="1:23" s="1106" customFormat="1" ht="11.25" customHeight="1">
      <c r="A13" s="1131"/>
      <c r="B13" s="1129" t="s">
        <v>428</v>
      </c>
      <c r="C13" s="987"/>
      <c r="D13" s="1004"/>
      <c r="E13" s="935"/>
      <c r="F13" s="935"/>
      <c r="G13" s="935"/>
      <c r="H13" s="935"/>
      <c r="I13" s="935"/>
      <c r="J13" s="935"/>
      <c r="K13" s="917"/>
      <c r="L13" s="464"/>
      <c r="M13" s="464"/>
      <c r="N13" s="464"/>
      <c r="O13" s="990"/>
      <c r="P13" s="658"/>
      <c r="Q13" s="985"/>
      <c r="R13" s="459"/>
      <c r="S13" s="459"/>
      <c r="T13" s="978"/>
      <c r="U13" s="985"/>
      <c r="V13" s="459"/>
      <c r="W13" s="978"/>
    </row>
    <row r="14" spans="1:23" s="1106" customFormat="1" ht="11.25" customHeight="1">
      <c r="A14" s="1131"/>
      <c r="B14" s="1129" t="s">
        <v>447</v>
      </c>
      <c r="C14" s="987"/>
      <c r="D14" s="1052"/>
      <c r="E14" s="1037"/>
      <c r="F14" s="1037"/>
      <c r="G14" s="1037"/>
      <c r="H14" s="1037"/>
      <c r="I14" s="1037"/>
      <c r="J14" s="1037"/>
      <c r="K14" s="917"/>
      <c r="L14" s="464"/>
      <c r="M14" s="464"/>
      <c r="N14" s="464"/>
      <c r="O14" s="990"/>
      <c r="P14" s="658"/>
      <c r="Q14" s="985"/>
      <c r="R14" s="459"/>
      <c r="S14" s="459"/>
      <c r="T14" s="978"/>
      <c r="U14" s="985"/>
      <c r="V14" s="459"/>
      <c r="W14" s="978"/>
    </row>
    <row r="15" spans="1:23" s="1106" customFormat="1" ht="11.25" customHeight="1">
      <c r="A15" s="1131"/>
      <c r="B15" s="1129" t="s">
        <v>430</v>
      </c>
      <c r="C15" s="987"/>
      <c r="D15" s="1005"/>
      <c r="E15" s="657"/>
      <c r="F15" s="657"/>
      <c r="G15" s="657"/>
      <c r="H15" s="968"/>
      <c r="I15" s="968"/>
      <c r="J15" s="968"/>
      <c r="K15" s="917"/>
      <c r="L15" s="464"/>
      <c r="M15" s="464"/>
      <c r="N15" s="464"/>
      <c r="O15" s="990"/>
      <c r="P15" s="658"/>
      <c r="Q15" s="985"/>
      <c r="R15" s="459"/>
      <c r="S15" s="459"/>
      <c r="T15" s="978"/>
      <c r="U15" s="985"/>
      <c r="V15" s="459"/>
      <c r="W15" s="978"/>
    </row>
    <row r="16" spans="1:23" s="1106" customFormat="1" ht="11.25" customHeight="1">
      <c r="A16" s="1131"/>
      <c r="B16" s="1129" t="s">
        <v>432</v>
      </c>
      <c r="C16" s="987"/>
      <c r="D16" s="1055"/>
      <c r="E16" s="1056"/>
      <c r="F16" s="1056"/>
      <c r="G16" s="1056"/>
      <c r="H16" s="1056"/>
      <c r="I16" s="1056"/>
      <c r="J16" s="1056"/>
      <c r="K16" s="917"/>
      <c r="L16" s="464"/>
      <c r="M16" s="464"/>
      <c r="N16" s="464"/>
      <c r="O16" s="990"/>
      <c r="P16" s="658"/>
      <c r="Q16" s="985"/>
      <c r="R16" s="459"/>
      <c r="S16" s="459"/>
      <c r="T16" s="978"/>
      <c r="U16" s="985"/>
      <c r="V16" s="459"/>
      <c r="W16" s="978"/>
    </row>
    <row r="17" spans="1:23" s="1106" customFormat="1" ht="11.25" customHeight="1">
      <c r="A17" s="1131"/>
      <c r="B17" s="1129" t="s">
        <v>433</v>
      </c>
      <c r="C17" s="987"/>
      <c r="D17" s="1006"/>
      <c r="E17" s="937"/>
      <c r="F17" s="937"/>
      <c r="G17" s="937"/>
      <c r="H17" s="937"/>
      <c r="I17" s="937"/>
      <c r="J17" s="937"/>
      <c r="K17" s="917"/>
      <c r="L17" s="464"/>
      <c r="M17" s="464"/>
      <c r="N17" s="464"/>
      <c r="O17" s="990"/>
      <c r="P17" s="658"/>
      <c r="Q17" s="985"/>
      <c r="R17" s="459"/>
      <c r="S17" s="459"/>
      <c r="T17" s="978"/>
      <c r="U17" s="985"/>
      <c r="V17" s="459"/>
      <c r="W17" s="978"/>
    </row>
    <row r="18" spans="1:23" s="1106" customFormat="1" ht="11.25" customHeight="1">
      <c r="A18" s="1131"/>
      <c r="B18" s="1129" t="s">
        <v>446</v>
      </c>
      <c r="C18" s="987"/>
      <c r="D18" s="1004"/>
      <c r="E18" s="935"/>
      <c r="F18" s="935"/>
      <c r="G18" s="935"/>
      <c r="H18" s="935"/>
      <c r="I18" s="935"/>
      <c r="J18" s="657"/>
      <c r="K18" s="917"/>
      <c r="L18" s="464"/>
      <c r="M18" s="464"/>
      <c r="N18" s="464"/>
      <c r="O18" s="990"/>
      <c r="P18" s="658"/>
      <c r="Q18" s="985"/>
      <c r="R18" s="459"/>
      <c r="S18" s="459"/>
      <c r="T18" s="978"/>
      <c r="U18" s="985"/>
      <c r="V18" s="459"/>
      <c r="W18" s="978"/>
    </row>
    <row r="19" spans="1:23" s="1106" customFormat="1" ht="11.25" customHeight="1">
      <c r="A19" s="1131"/>
      <c r="B19" s="1130" t="s">
        <v>448</v>
      </c>
      <c r="C19" s="987"/>
      <c r="D19" s="1005"/>
      <c r="E19" s="657"/>
      <c r="F19" s="1058"/>
      <c r="G19" s="1058"/>
      <c r="H19" s="1058"/>
      <c r="I19" s="1058"/>
      <c r="J19" s="1057"/>
      <c r="K19" s="917"/>
      <c r="L19" s="464"/>
      <c r="M19" s="464"/>
      <c r="N19" s="464"/>
      <c r="O19" s="990"/>
      <c r="P19" s="658"/>
      <c r="Q19" s="985"/>
      <c r="R19" s="459"/>
      <c r="S19" s="459"/>
      <c r="T19" s="978"/>
      <c r="U19" s="985"/>
      <c r="V19" s="459"/>
      <c r="W19" s="978"/>
    </row>
    <row r="20" spans="1:23" s="1106" customFormat="1" ht="11.25" customHeight="1" thickBot="1">
      <c r="A20" s="1132"/>
      <c r="B20" s="1130" t="s">
        <v>434</v>
      </c>
      <c r="C20" s="988"/>
      <c r="D20" s="1005"/>
      <c r="E20" s="657"/>
      <c r="F20" s="657"/>
      <c r="G20" s="657"/>
      <c r="H20" s="657"/>
      <c r="I20" s="657"/>
      <c r="J20" s="969"/>
      <c r="K20" s="896"/>
      <c r="L20" s="464"/>
      <c r="M20" s="464"/>
      <c r="N20" s="464"/>
      <c r="O20" s="990"/>
      <c r="P20" s="658"/>
      <c r="Q20" s="985"/>
      <c r="R20" s="459"/>
      <c r="S20" s="459"/>
      <c r="T20" s="978"/>
      <c r="U20" s="985"/>
      <c r="V20" s="459"/>
      <c r="W20" s="978"/>
    </row>
    <row r="21" spans="1:23" s="1106" customFormat="1" ht="19.5" customHeight="1" thickBot="1">
      <c r="A21" s="1131"/>
      <c r="B21" s="1221" t="s">
        <v>480</v>
      </c>
      <c r="C21" s="1213"/>
      <c r="D21" s="1213"/>
      <c r="E21" s="1213"/>
      <c r="F21" s="1213"/>
      <c r="G21" s="1213"/>
      <c r="H21" s="1213"/>
      <c r="I21" s="1213"/>
      <c r="J21" s="1222"/>
      <c r="K21" s="915"/>
      <c r="L21" s="1024"/>
      <c r="M21" s="464"/>
      <c r="N21" s="464"/>
      <c r="O21" s="990"/>
      <c r="P21" s="658"/>
      <c r="Q21" s="985"/>
      <c r="R21" s="459"/>
      <c r="S21" s="459"/>
      <c r="T21" s="978"/>
      <c r="U21" s="985"/>
      <c r="V21" s="459"/>
      <c r="W21" s="978"/>
    </row>
    <row r="22" spans="1:23" s="1106" customFormat="1" ht="11.25" customHeight="1">
      <c r="A22" s="1131">
        <v>2</v>
      </c>
      <c r="B22" s="1124" t="s">
        <v>371</v>
      </c>
      <c r="C22" s="1008"/>
      <c r="D22" s="1111"/>
      <c r="E22" s="1053"/>
      <c r="F22" s="1053"/>
      <c r="G22" s="1053"/>
      <c r="H22" s="1053"/>
      <c r="I22" s="1112"/>
      <c r="J22" s="1053"/>
      <c r="K22" s="974"/>
      <c r="L22" s="464"/>
      <c r="M22" s="464"/>
      <c r="N22" s="464"/>
      <c r="O22" s="990"/>
      <c r="P22" s="658"/>
      <c r="Q22" s="985"/>
      <c r="R22" s="459"/>
      <c r="S22" s="459"/>
      <c r="T22" s="978"/>
      <c r="U22" s="985"/>
      <c r="V22" s="459"/>
      <c r="W22" s="978"/>
    </row>
    <row r="23" spans="1:23" s="1106" customFormat="1" ht="11.25" customHeight="1">
      <c r="A23" s="1131"/>
      <c r="B23" s="1125" t="s">
        <v>370</v>
      </c>
      <c r="C23" s="939"/>
      <c r="D23" s="1108"/>
      <c r="E23" s="940"/>
      <c r="F23" s="940"/>
      <c r="G23" s="940"/>
      <c r="H23" s="940"/>
      <c r="I23" s="1107"/>
      <c r="J23" s="658"/>
      <c r="K23" s="917"/>
      <c r="L23" s="464"/>
      <c r="M23" s="464"/>
      <c r="N23" s="464"/>
      <c r="O23" s="990"/>
      <c r="P23" s="658"/>
      <c r="Q23" s="985"/>
      <c r="R23" s="459"/>
      <c r="S23" s="459"/>
      <c r="T23" s="978"/>
      <c r="U23" s="985"/>
      <c r="V23" s="459"/>
      <c r="W23" s="978"/>
    </row>
    <row r="24" spans="1:23" s="1106" customFormat="1" ht="11.25" customHeight="1">
      <c r="A24" s="1131"/>
      <c r="B24" s="1126" t="s">
        <v>372</v>
      </c>
      <c r="C24" s="938"/>
      <c r="D24" s="1108"/>
      <c r="E24" s="1010"/>
      <c r="F24" s="1010"/>
      <c r="G24" s="1010"/>
      <c r="H24" s="1010"/>
      <c r="I24" s="1113"/>
      <c r="J24" s="1010"/>
      <c r="K24" s="917"/>
      <c r="L24" s="464"/>
      <c r="M24" s="464"/>
      <c r="N24" s="464"/>
      <c r="O24" s="990"/>
      <c r="P24" s="658"/>
      <c r="Q24" s="985"/>
      <c r="R24" s="459"/>
      <c r="S24" s="459"/>
      <c r="T24" s="978"/>
      <c r="U24" s="985"/>
      <c r="V24" s="459"/>
      <c r="W24" s="978"/>
    </row>
    <row r="25" spans="1:23" s="1106" customFormat="1" ht="11.25" customHeight="1">
      <c r="A25" s="1131"/>
      <c r="B25" s="1127" t="s">
        <v>373</v>
      </c>
      <c r="C25" s="1009"/>
      <c r="D25" s="1108"/>
      <c r="E25" s="658"/>
      <c r="F25" s="658"/>
      <c r="G25" s="965"/>
      <c r="H25" s="965"/>
      <c r="I25" s="1114"/>
      <c r="J25" s="965"/>
      <c r="K25" s="917"/>
      <c r="L25" s="464"/>
      <c r="M25" s="464"/>
      <c r="N25" s="464"/>
      <c r="O25" s="990"/>
      <c r="P25" s="658"/>
      <c r="Q25" s="985"/>
      <c r="R25" s="459"/>
      <c r="S25" s="459"/>
      <c r="T25" s="978"/>
      <c r="U25" s="985"/>
      <c r="V25" s="459"/>
      <c r="W25" s="978"/>
    </row>
    <row r="26" spans="1:23" s="1106" customFormat="1" ht="11.25" customHeight="1" thickBot="1">
      <c r="A26" s="1131"/>
      <c r="B26" s="1217" t="s">
        <v>440</v>
      </c>
      <c r="C26" s="1218"/>
      <c r="D26" s="1108"/>
      <c r="E26" s="658"/>
      <c r="F26" s="658"/>
      <c r="G26" s="658"/>
      <c r="H26" s="658"/>
      <c r="I26" s="1107"/>
      <c r="J26" s="1054"/>
      <c r="K26" s="897"/>
      <c r="L26" s="1021"/>
      <c r="M26" s="1021"/>
      <c r="N26" s="1021"/>
      <c r="O26" s="1022"/>
      <c r="P26" s="658"/>
      <c r="Q26" s="985"/>
      <c r="R26" s="459"/>
      <c r="S26" s="459"/>
      <c r="T26" s="978"/>
      <c r="U26" s="985"/>
      <c r="V26" s="459"/>
      <c r="W26" s="978"/>
    </row>
    <row r="27" spans="1:23" s="1106" customFormat="1" ht="17.25" customHeight="1" thickBot="1">
      <c r="A27" s="1133"/>
      <c r="B27" s="1209" t="s">
        <v>445</v>
      </c>
      <c r="C27" s="1210"/>
      <c r="D27" s="1210"/>
      <c r="E27" s="1210"/>
      <c r="F27" s="1210"/>
      <c r="G27" s="1210"/>
      <c r="H27" s="1210"/>
      <c r="I27" s="1210"/>
      <c r="J27" s="1210"/>
      <c r="K27" s="1210"/>
      <c r="L27" s="1210"/>
      <c r="M27" s="1210"/>
      <c r="N27" s="1210"/>
      <c r="O27" s="1211"/>
      <c r="P27" s="658"/>
      <c r="Q27" s="985"/>
      <c r="R27" s="459"/>
      <c r="S27" s="459"/>
      <c r="T27" s="978"/>
      <c r="U27" s="985"/>
      <c r="V27" s="459"/>
      <c r="W27" s="978"/>
    </row>
    <row r="28" spans="1:23" s="1106" customFormat="1" ht="11.25" customHeight="1">
      <c r="A28" s="1134">
        <v>3</v>
      </c>
      <c r="B28" s="1122" t="s">
        <v>444</v>
      </c>
      <c r="C28" s="1025"/>
      <c r="D28" s="974"/>
      <c r="E28" s="975"/>
      <c r="F28" s="975"/>
      <c r="G28" s="975"/>
      <c r="H28" s="975"/>
      <c r="I28" s="1011"/>
      <c r="J28" s="1026"/>
      <c r="K28" s="971"/>
      <c r="L28" s="971"/>
      <c r="M28" s="971"/>
      <c r="N28" s="971"/>
      <c r="O28" s="1018"/>
      <c r="P28" s="983"/>
      <c r="Q28" s="1027"/>
      <c r="R28" s="1028"/>
      <c r="S28" s="1028"/>
      <c r="T28" s="1029"/>
      <c r="U28" s="1027"/>
      <c r="V28" s="1028"/>
      <c r="W28" s="1029"/>
    </row>
    <row r="29" spans="1:23" s="1106" customFormat="1" ht="11.25" customHeight="1">
      <c r="A29" s="1134"/>
      <c r="B29" s="650" t="s">
        <v>435</v>
      </c>
      <c r="C29" s="987"/>
      <c r="D29" s="917"/>
      <c r="E29" s="915"/>
      <c r="F29" s="915"/>
      <c r="G29" s="915"/>
      <c r="H29" s="915"/>
      <c r="I29" s="967"/>
      <c r="J29" s="1012"/>
      <c r="K29" s="937"/>
      <c r="L29" s="937"/>
      <c r="M29" s="970"/>
      <c r="N29" s="970"/>
      <c r="O29" s="1013"/>
      <c r="P29" s="658"/>
      <c r="Q29" s="1030"/>
      <c r="R29" s="1030"/>
      <c r="S29" s="1030"/>
      <c r="T29" s="1030"/>
      <c r="U29" s="985"/>
      <c r="V29" s="459"/>
      <c r="W29" s="978"/>
    </row>
    <row r="30" spans="1:23" s="1106" customFormat="1" ht="11.25" customHeight="1">
      <c r="A30" s="1134"/>
      <c r="B30" s="650" t="s">
        <v>436</v>
      </c>
      <c r="C30" s="987"/>
      <c r="D30" s="917"/>
      <c r="E30" s="915"/>
      <c r="F30" s="915"/>
      <c r="G30" s="915"/>
      <c r="H30" s="915"/>
      <c r="I30" s="967"/>
      <c r="J30" s="1014"/>
      <c r="K30" s="936"/>
      <c r="L30" s="936"/>
      <c r="M30" s="970"/>
      <c r="N30" s="970"/>
      <c r="O30" s="1013"/>
      <c r="P30" s="658"/>
      <c r="Q30" s="985"/>
      <c r="R30" s="459"/>
      <c r="S30" s="459"/>
      <c r="T30" s="978"/>
      <c r="U30" s="985"/>
      <c r="V30" s="459"/>
      <c r="W30" s="978"/>
    </row>
    <row r="31" spans="1:23" s="1106" customFormat="1" ht="11.25" customHeight="1">
      <c r="A31" s="1134"/>
      <c r="B31" s="650" t="s">
        <v>437</v>
      </c>
      <c r="C31" s="987"/>
      <c r="D31" s="917"/>
      <c r="E31" s="915"/>
      <c r="F31" s="915"/>
      <c r="G31" s="915"/>
      <c r="H31" s="915"/>
      <c r="I31" s="967"/>
      <c r="J31" s="1015"/>
      <c r="K31" s="657"/>
      <c r="L31" s="657"/>
      <c r="M31" s="972"/>
      <c r="N31" s="972"/>
      <c r="O31" s="1016"/>
      <c r="P31" s="658"/>
      <c r="Q31" s="997"/>
      <c r="R31" s="973"/>
      <c r="S31" s="973"/>
      <c r="T31" s="981"/>
      <c r="U31" s="997"/>
      <c r="V31" s="973"/>
      <c r="W31" s="981"/>
    </row>
    <row r="32" spans="1:23" s="1106" customFormat="1" ht="11.25" customHeight="1" thickBot="1">
      <c r="A32" s="1135"/>
      <c r="B32" s="1123" t="s">
        <v>439</v>
      </c>
      <c r="C32" s="989"/>
      <c r="D32" s="897"/>
      <c r="E32" s="919"/>
      <c r="F32" s="919"/>
      <c r="G32" s="919"/>
      <c r="H32" s="919"/>
      <c r="I32" s="982"/>
      <c r="J32" s="1017"/>
      <c r="K32" s="657"/>
      <c r="L32" s="657"/>
      <c r="M32" s="657"/>
      <c r="N32" s="657"/>
      <c r="O32" s="1007"/>
      <c r="P32" s="658"/>
      <c r="Q32" s="1034"/>
      <c r="R32" s="1035"/>
      <c r="S32" s="1035"/>
      <c r="T32" s="1036"/>
      <c r="U32" s="1034"/>
      <c r="V32" s="1035"/>
      <c r="W32" s="1036"/>
    </row>
    <row r="33" spans="1:23" s="1106" customFormat="1" ht="18" customHeight="1" thickBot="1">
      <c r="A33" s="1135">
        <v>4</v>
      </c>
      <c r="B33" s="1212" t="s">
        <v>438</v>
      </c>
      <c r="C33" s="1226"/>
      <c r="D33" s="1226"/>
      <c r="E33" s="1226"/>
      <c r="F33" s="1226"/>
      <c r="G33" s="1226"/>
      <c r="H33" s="1226"/>
      <c r="I33" s="1226"/>
      <c r="J33" s="1226"/>
      <c r="K33" s="1043"/>
      <c r="L33" s="1044"/>
      <c r="M33" s="1044"/>
      <c r="N33" s="1044"/>
      <c r="O33" s="1045"/>
      <c r="P33" s="658"/>
      <c r="Q33" s="1049"/>
      <c r="R33" s="1050"/>
      <c r="S33" s="1050"/>
      <c r="T33" s="1051"/>
      <c r="U33" s="1049"/>
      <c r="V33" s="1050"/>
      <c r="W33" s="1051"/>
    </row>
    <row r="34" spans="1:23" s="1106" customFormat="1" ht="18" customHeight="1" thickBot="1">
      <c r="A34" s="1135">
        <v>5</v>
      </c>
      <c r="B34" s="1212" t="s">
        <v>443</v>
      </c>
      <c r="C34" s="1213"/>
      <c r="D34" s="1213"/>
      <c r="E34" s="1213"/>
      <c r="F34" s="1213"/>
      <c r="G34" s="1213"/>
      <c r="H34" s="1213"/>
      <c r="I34" s="1213"/>
      <c r="J34" s="1213"/>
      <c r="K34" s="1041"/>
      <c r="L34" s="969"/>
      <c r="M34" s="969"/>
      <c r="N34" s="969"/>
      <c r="O34" s="1042"/>
      <c r="P34" s="658"/>
      <c r="Q34" s="1046"/>
      <c r="R34" s="1047"/>
      <c r="S34" s="1047"/>
      <c r="T34" s="1048"/>
      <c r="U34" s="1046"/>
      <c r="V34" s="1047"/>
      <c r="W34" s="1048"/>
    </row>
    <row r="35" spans="1:23" s="1106" customFormat="1" ht="18" customHeight="1" thickBot="1">
      <c r="A35" s="1135">
        <v>6</v>
      </c>
      <c r="B35" s="1212" t="s">
        <v>429</v>
      </c>
      <c r="C35" s="1213"/>
      <c r="D35" s="1213"/>
      <c r="E35" s="1213"/>
      <c r="F35" s="1213"/>
      <c r="G35" s="1213"/>
      <c r="H35" s="1213"/>
      <c r="I35" s="1213"/>
      <c r="J35" s="1213"/>
      <c r="K35" s="1038"/>
      <c r="L35" s="1039"/>
      <c r="M35" s="1039"/>
      <c r="N35" s="1039"/>
      <c r="O35" s="1040"/>
      <c r="P35" s="658"/>
      <c r="Q35" s="998"/>
      <c r="R35" s="999"/>
      <c r="S35" s="999"/>
      <c r="T35" s="1000"/>
      <c r="U35" s="998"/>
      <c r="V35" s="999"/>
      <c r="W35" s="1000"/>
    </row>
    <row r="36" spans="1:23" s="484" customFormat="1" ht="22.5" customHeight="1">
      <c r="A36" s="666"/>
      <c r="B36" s="482"/>
      <c r="C36" s="483"/>
      <c r="D36" s="483"/>
      <c r="E36" s="483"/>
      <c r="F36" s="483"/>
      <c r="G36" s="483"/>
      <c r="H36" s="483"/>
      <c r="I36" s="483"/>
      <c r="J36" s="483"/>
      <c r="K36" s="483"/>
      <c r="L36" s="446"/>
      <c r="M36" s="446"/>
      <c r="N36" s="446"/>
      <c r="O36" s="446"/>
      <c r="P36" s="445"/>
      <c r="Q36" s="445"/>
      <c r="R36" s="445"/>
      <c r="S36" s="446"/>
      <c r="T36" s="445"/>
      <c r="U36" s="445"/>
      <c r="V36" s="445"/>
      <c r="W36" s="445"/>
    </row>
    <row r="37" spans="3:23" ht="12.75"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4"/>
      <c r="Q37" s="475"/>
      <c r="R37" s="475"/>
      <c r="S37" s="475"/>
      <c r="T37" s="475"/>
      <c r="U37" s="474"/>
      <c r="V37" s="474"/>
      <c r="W37" s="474"/>
    </row>
    <row r="38" spans="2:4" ht="15.75">
      <c r="B38" s="487" t="s">
        <v>352</v>
      </c>
      <c r="C38" s="488"/>
      <c r="D38" s="33" t="s">
        <v>351</v>
      </c>
    </row>
    <row r="39" spans="2:4" ht="15.75">
      <c r="B39" s="698" t="s">
        <v>379</v>
      </c>
      <c r="C39" s="489"/>
      <c r="D39" s="33"/>
    </row>
  </sheetData>
  <mergeCells count="16">
    <mergeCell ref="Q4:T4"/>
    <mergeCell ref="P3:T3"/>
    <mergeCell ref="B3:B5"/>
    <mergeCell ref="C3:O3"/>
    <mergeCell ref="C4:C5"/>
    <mergeCell ref="D4:O4"/>
    <mergeCell ref="B27:O27"/>
    <mergeCell ref="B35:J35"/>
    <mergeCell ref="D9:O9"/>
    <mergeCell ref="Q9:T9"/>
    <mergeCell ref="B26:C26"/>
    <mergeCell ref="B10:C10"/>
    <mergeCell ref="B21:J21"/>
    <mergeCell ref="B11:J11"/>
    <mergeCell ref="B34:J34"/>
    <mergeCell ref="B33:J33"/>
  </mergeCells>
  <printOptions/>
  <pageMargins left="0.17" right="0.16" top="1.4" bottom="0.1968503937007874" header="0.5118110236220472" footer="0.1968503937007874"/>
  <pageSetup horizontalDpi="600" verticalDpi="600" orientation="landscape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60" zoomScaleNormal="75" workbookViewId="0" topLeftCell="C51">
      <pane xSplit="3630" ySplit="930" topLeftCell="B20" activePane="bottomRight" state="split"/>
      <selection pane="topLeft" activeCell="V52" sqref="V52"/>
      <selection pane="topRight" activeCell="X7" sqref="X1:X16384"/>
      <selection pane="bottomLeft" activeCell="A51" sqref="A51:GK51"/>
      <selection pane="bottomRight" activeCell="N54" sqref="N54"/>
    </sheetView>
  </sheetViews>
  <sheetFormatPr defaultColWidth="9.00390625" defaultRowHeight="12.75"/>
  <cols>
    <col min="1" max="1" width="54.00390625" style="31" customWidth="1"/>
    <col min="2" max="2" width="11.875" style="323" customWidth="1"/>
    <col min="3" max="14" width="10.75390625" style="31" customWidth="1"/>
    <col min="15" max="15" width="13.125" style="323" customWidth="1"/>
    <col min="16" max="17" width="11.75390625" style="31" customWidth="1"/>
    <col min="18" max="19" width="12.125" style="31" customWidth="1"/>
    <col min="20" max="20" width="12.75390625" style="323" customWidth="1"/>
    <col min="21" max="21" width="12.75390625" style="324" customWidth="1"/>
    <col min="22" max="22" width="14.00390625" style="324" customWidth="1"/>
    <col min="23" max="23" width="12.875" style="408" customWidth="1"/>
    <col min="24" max="16384" width="9.125" style="31" customWidth="1"/>
  </cols>
  <sheetData>
    <row r="1" spans="1:20" ht="22.5">
      <c r="A1" s="211" t="s">
        <v>208</v>
      </c>
      <c r="K1" s="91" t="s">
        <v>207</v>
      </c>
      <c r="M1" s="134" t="s">
        <v>465</v>
      </c>
      <c r="O1" s="324"/>
      <c r="T1" s="324"/>
    </row>
    <row r="2" spans="1:20" ht="16.5" thickBot="1">
      <c r="A2" s="56"/>
      <c r="K2" s="91"/>
      <c r="M2" s="134"/>
      <c r="O2" s="324"/>
      <c r="T2" s="324"/>
    </row>
    <row r="3" spans="1:24" ht="17.25" customHeight="1" thickBot="1">
      <c r="A3" s="1167" t="s">
        <v>136</v>
      </c>
      <c r="B3" s="1183" t="s">
        <v>1</v>
      </c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184"/>
      <c r="O3" s="1183" t="s">
        <v>44</v>
      </c>
      <c r="P3" s="1313"/>
      <c r="Q3" s="1313"/>
      <c r="R3" s="1313"/>
      <c r="S3" s="1184"/>
      <c r="T3" s="325" t="s">
        <v>46</v>
      </c>
      <c r="U3" s="325" t="s">
        <v>317</v>
      </c>
      <c r="V3" s="403" t="s">
        <v>318</v>
      </c>
      <c r="W3" s="409"/>
      <c r="X3" s="31" t="s">
        <v>346</v>
      </c>
    </row>
    <row r="4" spans="1:24" ht="15.75" customHeight="1" thickBot="1">
      <c r="A4" s="1168"/>
      <c r="B4" s="1316" t="s">
        <v>112</v>
      </c>
      <c r="C4" s="1215" t="s">
        <v>292</v>
      </c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6"/>
      <c r="O4" s="1314" t="s">
        <v>112</v>
      </c>
      <c r="P4" s="1156" t="s">
        <v>113</v>
      </c>
      <c r="Q4" s="1157"/>
      <c r="R4" s="1157"/>
      <c r="S4" s="1158"/>
      <c r="T4" s="326" t="s">
        <v>158</v>
      </c>
      <c r="U4" s="326" t="s">
        <v>158</v>
      </c>
      <c r="V4" s="404" t="s">
        <v>158</v>
      </c>
      <c r="W4" s="410" t="s">
        <v>335</v>
      </c>
      <c r="X4" s="31" t="s">
        <v>347</v>
      </c>
    </row>
    <row r="5" spans="1:23" ht="16.5" thickBot="1">
      <c r="A5" s="1152"/>
      <c r="B5" s="1317"/>
      <c r="C5" s="38" t="s">
        <v>114</v>
      </c>
      <c r="D5" s="38" t="s">
        <v>115</v>
      </c>
      <c r="E5" s="38" t="s">
        <v>116</v>
      </c>
      <c r="F5" s="38" t="s">
        <v>117</v>
      </c>
      <c r="G5" s="38" t="s">
        <v>284</v>
      </c>
      <c r="H5" s="38" t="s">
        <v>285</v>
      </c>
      <c r="I5" s="38" t="s">
        <v>286</v>
      </c>
      <c r="J5" s="166" t="s">
        <v>287</v>
      </c>
      <c r="K5" s="168" t="s">
        <v>288</v>
      </c>
      <c r="L5" s="38" t="s">
        <v>289</v>
      </c>
      <c r="M5" s="38" t="s">
        <v>290</v>
      </c>
      <c r="N5" s="38" t="s">
        <v>291</v>
      </c>
      <c r="O5" s="1315"/>
      <c r="P5" s="45" t="s">
        <v>114</v>
      </c>
      <c r="Q5" s="45" t="s">
        <v>115</v>
      </c>
      <c r="R5" s="45" t="s">
        <v>116</v>
      </c>
      <c r="S5" s="45" t="s">
        <v>117</v>
      </c>
      <c r="T5" s="327"/>
      <c r="U5" s="327"/>
      <c r="V5" s="405"/>
      <c r="W5" s="411"/>
    </row>
    <row r="6" spans="1:23" ht="16.5" thickBot="1">
      <c r="A6" s="46">
        <v>1</v>
      </c>
      <c r="B6" s="346">
        <v>2</v>
      </c>
      <c r="C6" s="165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4">
        <v>11</v>
      </c>
      <c r="L6" s="164">
        <v>12</v>
      </c>
      <c r="M6" s="164">
        <v>13</v>
      </c>
      <c r="N6" s="164">
        <v>14</v>
      </c>
      <c r="O6" s="328">
        <v>15</v>
      </c>
      <c r="P6" s="164">
        <v>16</v>
      </c>
      <c r="Q6" s="164">
        <v>17</v>
      </c>
      <c r="R6" s="164">
        <v>18</v>
      </c>
      <c r="S6" s="164">
        <v>19</v>
      </c>
      <c r="T6" s="328">
        <v>20</v>
      </c>
      <c r="U6" s="328">
        <v>21</v>
      </c>
      <c r="V6" s="406">
        <v>22</v>
      </c>
      <c r="W6" s="411"/>
    </row>
    <row r="7" spans="1:23" ht="16.5" thickBot="1">
      <c r="A7" s="1309" t="s">
        <v>209</v>
      </c>
      <c r="B7" s="1310"/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1311"/>
      <c r="N7" s="1311"/>
      <c r="O7" s="1310"/>
      <c r="P7" s="1311"/>
      <c r="Q7" s="1311"/>
      <c r="R7" s="1311"/>
      <c r="S7" s="1312"/>
      <c r="U7" s="323"/>
      <c r="V7" s="323"/>
      <c r="W7" s="411"/>
    </row>
    <row r="8" spans="1:24" ht="31.5">
      <c r="A8" s="115" t="s">
        <v>210</v>
      </c>
      <c r="B8" s="1279">
        <f>B10+B11</f>
        <v>1384.6153846153848</v>
      </c>
      <c r="C8" s="1277"/>
      <c r="D8" s="1274"/>
      <c r="E8" s="1274"/>
      <c r="F8" s="1274"/>
      <c r="G8" s="1274"/>
      <c r="H8" s="1274"/>
      <c r="I8" s="1274">
        <f>I10+I11</f>
        <v>461.53846153846155</v>
      </c>
      <c r="J8" s="1274"/>
      <c r="K8" s="1274"/>
      <c r="L8" s="1274"/>
      <c r="M8" s="1274"/>
      <c r="N8" s="1278">
        <f>N10+N11</f>
        <v>923.0769230769231</v>
      </c>
      <c r="O8" s="1307">
        <f aca="true" t="shared" si="0" ref="O8:T8">O10+O11</f>
        <v>9055.384615384617</v>
      </c>
      <c r="P8" s="1277">
        <f t="shared" si="0"/>
        <v>1509.2307692307695</v>
      </c>
      <c r="Q8" s="1274">
        <f t="shared" si="0"/>
        <v>2012.3076923076926</v>
      </c>
      <c r="R8" s="1274">
        <f t="shared" si="0"/>
        <v>2515.3846153846157</v>
      </c>
      <c r="S8" s="1278">
        <f t="shared" si="0"/>
        <v>3018.461538461539</v>
      </c>
      <c r="T8" s="1282">
        <f t="shared" si="0"/>
        <v>14805.553846153849</v>
      </c>
      <c r="U8" s="1319">
        <f>U10+U11</f>
        <v>24207.08053846154</v>
      </c>
      <c r="V8" s="1279">
        <f>V10+V11</f>
        <v>39578.57668038463</v>
      </c>
      <c r="W8" s="417">
        <f>V8+U8+T8+O8+B8</f>
        <v>89031.21106500002</v>
      </c>
      <c r="X8" s="31">
        <f>W8/5/12</f>
        <v>1483.8535177500005</v>
      </c>
    </row>
    <row r="9" spans="1:23" ht="16.5" thickBot="1">
      <c r="A9" s="117" t="s">
        <v>149</v>
      </c>
      <c r="B9" s="1285"/>
      <c r="C9" s="1244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9"/>
      <c r="O9" s="1308"/>
      <c r="P9" s="1244"/>
      <c r="Q9" s="1238"/>
      <c r="R9" s="1238"/>
      <c r="S9" s="1239"/>
      <c r="T9" s="1284"/>
      <c r="U9" s="1304"/>
      <c r="V9" s="1285"/>
      <c r="W9" s="416"/>
    </row>
    <row r="10" spans="1:23" ht="32.25" thickBot="1">
      <c r="A10" s="109" t="s">
        <v>211</v>
      </c>
      <c r="B10" s="345">
        <f>8!B7</f>
        <v>1384.6153846153848</v>
      </c>
      <c r="C10" s="288"/>
      <c r="D10" s="295"/>
      <c r="E10" s="295"/>
      <c r="F10" s="295"/>
      <c r="G10" s="295"/>
      <c r="H10" s="295"/>
      <c r="I10" s="295">
        <f>8!I7</f>
        <v>461.53846153846155</v>
      </c>
      <c r="J10" s="295"/>
      <c r="K10" s="295"/>
      <c r="L10" s="295"/>
      <c r="M10" s="295"/>
      <c r="N10" s="299">
        <f>8!N7</f>
        <v>923.0769230769231</v>
      </c>
      <c r="O10" s="337">
        <f>8!O7</f>
        <v>9055.384615384617</v>
      </c>
      <c r="P10" s="288">
        <f>8!P7</f>
        <v>1509.2307692307695</v>
      </c>
      <c r="Q10" s="295">
        <f>8!Q7</f>
        <v>2012.3076923076926</v>
      </c>
      <c r="R10" s="295">
        <f>8!R7</f>
        <v>2515.3846153846157</v>
      </c>
      <c r="S10" s="299">
        <f>8!S7</f>
        <v>3018.461538461539</v>
      </c>
      <c r="T10" s="335">
        <f>8!T7</f>
        <v>14805.553846153849</v>
      </c>
      <c r="U10" s="331">
        <f>8!U7</f>
        <v>24207.08053846154</v>
      </c>
      <c r="V10" s="345">
        <f>8!V7</f>
        <v>39578.57668038463</v>
      </c>
      <c r="W10" s="412">
        <f>V10+U10+T10+O10+B10</f>
        <v>89031.21106500002</v>
      </c>
    </row>
    <row r="11" spans="1:23" ht="24" customHeight="1" thickBot="1">
      <c r="A11" s="109" t="s">
        <v>212</v>
      </c>
      <c r="B11" s="345">
        <f>C11</f>
        <v>0</v>
      </c>
      <c r="C11" s="288">
        <f>3!C19</f>
        <v>0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9"/>
      <c r="O11" s="336"/>
      <c r="P11" s="288"/>
      <c r="Q11" s="295"/>
      <c r="R11" s="295"/>
      <c r="S11" s="299"/>
      <c r="T11" s="333"/>
      <c r="U11" s="330"/>
      <c r="V11" s="344"/>
      <c r="W11" s="412"/>
    </row>
    <row r="12" spans="1:23" ht="31.5">
      <c r="A12" s="115" t="s">
        <v>213</v>
      </c>
      <c r="B12" s="1279">
        <f aca="true" t="shared" si="1" ref="B12:I12">B14+B15</f>
        <v>1131.8011506791863</v>
      </c>
      <c r="C12" s="1244">
        <f t="shared" si="1"/>
        <v>41.874347163980886</v>
      </c>
      <c r="D12" s="1238">
        <f t="shared" si="1"/>
        <v>62.81148721411561</v>
      </c>
      <c r="E12" s="1238">
        <f t="shared" si="1"/>
        <v>45.489113479855725</v>
      </c>
      <c r="F12" s="1238">
        <f t="shared" si="1"/>
        <v>69.22686845011214</v>
      </c>
      <c r="G12" s="1238">
        <f t="shared" si="1"/>
        <v>56.515870860368544</v>
      </c>
      <c r="H12" s="1238">
        <f t="shared" si="1"/>
        <v>49.90030281256324</v>
      </c>
      <c r="I12" s="1238">
        <f t="shared" si="1"/>
        <v>216.17090505072053</v>
      </c>
      <c r="J12" s="1238">
        <f>J14+J15</f>
        <v>72.89112305941244</v>
      </c>
      <c r="K12" s="1238">
        <f>K14+K15</f>
        <v>58.54943014659192</v>
      </c>
      <c r="L12" s="1238">
        <f>L14+L15</f>
        <v>58.32513563377141</v>
      </c>
      <c r="M12" s="1238">
        <f>M14+M15</f>
        <v>58.100841120950896</v>
      </c>
      <c r="N12" s="1239">
        <f>N14+N15</f>
        <v>386.42934973720475</v>
      </c>
      <c r="O12" s="1307">
        <f aca="true" t="shared" si="2" ref="O12:T12">O14+O15</f>
        <v>4973.828523571573</v>
      </c>
      <c r="P12" s="1244">
        <f t="shared" si="2"/>
        <v>898.2323962265921</v>
      </c>
      <c r="Q12" s="1238">
        <f t="shared" si="2"/>
        <v>1108.5712566712336</v>
      </c>
      <c r="R12" s="1238">
        <f t="shared" si="2"/>
        <v>1369.142190127609</v>
      </c>
      <c r="S12" s="1239">
        <f t="shared" si="2"/>
        <v>1629.9318335839844</v>
      </c>
      <c r="T12" s="1282">
        <f t="shared" si="2"/>
        <v>7945.942798616371</v>
      </c>
      <c r="U12" s="1319">
        <f>U14+U15</f>
        <v>12462.947348386522</v>
      </c>
      <c r="V12" s="1279">
        <f>V14+V15</f>
        <v>19688.870200073045</v>
      </c>
      <c r="W12" s="417">
        <f>V12+U12+T12+O12+B12</f>
        <v>46203.3900213267</v>
      </c>
    </row>
    <row r="13" spans="1:23" ht="16.5" thickBot="1">
      <c r="A13" s="117" t="s">
        <v>149</v>
      </c>
      <c r="B13" s="1285"/>
      <c r="C13" s="1244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9"/>
      <c r="O13" s="1308"/>
      <c r="P13" s="1244"/>
      <c r="Q13" s="1238"/>
      <c r="R13" s="1238"/>
      <c r="S13" s="1239"/>
      <c r="T13" s="1284"/>
      <c r="U13" s="1304"/>
      <c r="V13" s="1285"/>
      <c r="W13" s="413"/>
    </row>
    <row r="14" spans="1:23" ht="32.25" thickBot="1">
      <c r="A14" s="109" t="s">
        <v>214</v>
      </c>
      <c r="B14" s="345">
        <f>'6-затраты'!B39</f>
        <v>877.2761666153845</v>
      </c>
      <c r="C14" s="288">
        <f>'6-затраты'!C39</f>
        <v>49.13061276923078</v>
      </c>
      <c r="D14" s="295">
        <f>'6-затраты'!D39</f>
        <v>83.721768</v>
      </c>
      <c r="E14" s="295">
        <f>'6-затраты'!E39</f>
        <v>55.396505961538466</v>
      </c>
      <c r="F14" s="295">
        <f>'6-затраты'!F39</f>
        <v>94.52510646153847</v>
      </c>
      <c r="G14" s="295">
        <f>'6-затраты'!G39</f>
        <v>73.96360646153846</v>
      </c>
      <c r="H14" s="295">
        <f>'6-затраты'!H39</f>
        <v>62.51951415384616</v>
      </c>
      <c r="I14" s="295">
        <f>'6-затраты'!I39</f>
        <v>66.06691415384616</v>
      </c>
      <c r="J14" s="295">
        <f>'6-затраты'!J39</f>
        <v>96.98253723076922</v>
      </c>
      <c r="K14" s="295">
        <f>'6-затраты'!K39</f>
        <v>73.74240035576923</v>
      </c>
      <c r="L14" s="295">
        <f>'6-затраты'!L39</f>
        <v>73.74240035576923</v>
      </c>
      <c r="M14" s="295">
        <f>'6-затраты'!M39</f>
        <v>73.74240035576923</v>
      </c>
      <c r="N14" s="299">
        <f>'6-затраты'!N39</f>
        <v>73.74240035576923</v>
      </c>
      <c r="O14" s="337">
        <f>'6-затраты'!O39</f>
        <v>2868.048825615385</v>
      </c>
      <c r="P14" s="288">
        <f>'6-затраты'!P39</f>
        <v>575.9267273461539</v>
      </c>
      <c r="Q14" s="295">
        <f>'6-затраты'!Q39</f>
        <v>628.6375595384616</v>
      </c>
      <c r="R14" s="295">
        <f>'6-затраты'!R39</f>
        <v>764.040699423077</v>
      </c>
      <c r="S14" s="299">
        <f>'6-затраты'!S39</f>
        <v>899.4438393076924</v>
      </c>
      <c r="T14" s="335">
        <f>'6-затраты'!T39</f>
        <v>4341.330930730769</v>
      </c>
      <c r="U14" s="331">
        <f>'6-затраты'!U39</f>
        <v>6269.759857634615</v>
      </c>
      <c r="V14" s="345">
        <f>'6-затраты'!V39</f>
        <v>9161.18305568269</v>
      </c>
      <c r="W14" s="412">
        <f>V14+U14+T14+O14+B14</f>
        <v>23517.598836278845</v>
      </c>
    </row>
    <row r="15" spans="1:23" ht="16.5" thickBot="1">
      <c r="A15" s="109" t="s">
        <v>215</v>
      </c>
      <c r="B15" s="345">
        <f>8!B29</f>
        <v>254.52498406380192</v>
      </c>
      <c r="C15" s="288">
        <f>8!C29</f>
        <v>-7.256265605249891</v>
      </c>
      <c r="D15" s="295">
        <f>8!D29</f>
        <v>-20.91028078588439</v>
      </c>
      <c r="E15" s="295">
        <f>8!E29</f>
        <v>-9.907392481682741</v>
      </c>
      <c r="F15" s="295">
        <f>8!F29</f>
        <v>-25.298238011426328</v>
      </c>
      <c r="G15" s="295">
        <f>8!G29</f>
        <v>-17.447735601169917</v>
      </c>
      <c r="H15" s="295">
        <f>8!H29</f>
        <v>-12.619211341282917</v>
      </c>
      <c r="I15" s="295">
        <f>8!I29</f>
        <v>150.1039908968744</v>
      </c>
      <c r="J15" s="295">
        <f>8!J29</f>
        <v>-24.09141417135679</v>
      </c>
      <c r="K15" s="295">
        <f>8!K29</f>
        <v>-15.192970209177314</v>
      </c>
      <c r="L15" s="295">
        <f>8!L29</f>
        <v>-15.417264721997824</v>
      </c>
      <c r="M15" s="295">
        <f>8!M29</f>
        <v>-15.641559234818338</v>
      </c>
      <c r="N15" s="299">
        <f>8!N29</f>
        <v>312.6869493814355</v>
      </c>
      <c r="O15" s="337">
        <f>8!O29</f>
        <v>2105.779697956188</v>
      </c>
      <c r="P15" s="288">
        <f>8!P29</f>
        <v>322.30566888043813</v>
      </c>
      <c r="Q15" s="295">
        <f>8!Q29</f>
        <v>479.93369713277195</v>
      </c>
      <c r="R15" s="295">
        <f>8!R29</f>
        <v>605.1014907045321</v>
      </c>
      <c r="S15" s="299">
        <f>8!S29</f>
        <v>730.487994276292</v>
      </c>
      <c r="T15" s="335">
        <f>8!T29</f>
        <v>3604.611867885602</v>
      </c>
      <c r="U15" s="331">
        <f>8!U29</f>
        <v>6193.187490751907</v>
      </c>
      <c r="V15" s="345">
        <f>8!V29</f>
        <v>10527.687144390355</v>
      </c>
      <c r="W15" s="412">
        <f>V15+U15+T15+O15+B15</f>
        <v>22685.791185047852</v>
      </c>
    </row>
    <row r="16" spans="1:23" ht="31.5">
      <c r="A16" s="115" t="s">
        <v>216</v>
      </c>
      <c r="B16" s="1279">
        <f>B8-B12</f>
        <v>252.81423393619843</v>
      </c>
      <c r="C16" s="1244">
        <f>C8-C12</f>
        <v>-41.874347163980886</v>
      </c>
      <c r="D16" s="1238">
        <f aca="true" t="shared" si="3" ref="D16:I16">D8-D12</f>
        <v>-62.81148721411561</v>
      </c>
      <c r="E16" s="1238">
        <f t="shared" si="3"/>
        <v>-45.489113479855725</v>
      </c>
      <c r="F16" s="1238">
        <f t="shared" si="3"/>
        <v>-69.22686845011214</v>
      </c>
      <c r="G16" s="1238">
        <f t="shared" si="3"/>
        <v>-56.515870860368544</v>
      </c>
      <c r="H16" s="1238">
        <f t="shared" si="3"/>
        <v>-49.90030281256324</v>
      </c>
      <c r="I16" s="1238">
        <f t="shared" si="3"/>
        <v>245.367556487741</v>
      </c>
      <c r="J16" s="1238">
        <f>J8-J12</f>
        <v>-72.89112305941244</v>
      </c>
      <c r="K16" s="1238">
        <f>K8-K12</f>
        <v>-58.54943014659192</v>
      </c>
      <c r="L16" s="1238">
        <f>L8-L12</f>
        <v>-58.32513563377141</v>
      </c>
      <c r="M16" s="1238">
        <f>M8-M12</f>
        <v>-58.100841120950896</v>
      </c>
      <c r="N16" s="1239">
        <f>N8-N12</f>
        <v>536.6475733397183</v>
      </c>
      <c r="O16" s="1307">
        <f aca="true" t="shared" si="4" ref="O16:T16">O8-O12</f>
        <v>4081.556091813044</v>
      </c>
      <c r="P16" s="1244">
        <f t="shared" si="4"/>
        <v>610.9983730041774</v>
      </c>
      <c r="Q16" s="1238">
        <f t="shared" si="4"/>
        <v>903.736435636459</v>
      </c>
      <c r="R16" s="1238">
        <f t="shared" si="4"/>
        <v>1146.2424252570067</v>
      </c>
      <c r="S16" s="1239">
        <f t="shared" si="4"/>
        <v>1388.5297048775547</v>
      </c>
      <c r="T16" s="1282">
        <f t="shared" si="4"/>
        <v>6859.611047537478</v>
      </c>
      <c r="U16" s="1319">
        <f>U8-U12</f>
        <v>11744.13319007502</v>
      </c>
      <c r="V16" s="1279">
        <f>V8-V12</f>
        <v>19889.706480311583</v>
      </c>
      <c r="W16" s="417">
        <f>V16+U16+T16+O16+B16</f>
        <v>42827.82104367332</v>
      </c>
    </row>
    <row r="17" spans="1:23" ht="16.5" thickBot="1">
      <c r="A17" s="115" t="s">
        <v>217</v>
      </c>
      <c r="B17" s="1280"/>
      <c r="C17" s="1281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6"/>
      <c r="O17" s="1299"/>
      <c r="P17" s="1281"/>
      <c r="Q17" s="1275"/>
      <c r="R17" s="1275"/>
      <c r="S17" s="1276"/>
      <c r="T17" s="1283"/>
      <c r="U17" s="1303"/>
      <c r="V17" s="1280"/>
      <c r="W17" s="415"/>
    </row>
    <row r="18" spans="1:23" ht="16.5" thickBot="1">
      <c r="A18" s="1305" t="s">
        <v>218</v>
      </c>
      <c r="B18" s="1306"/>
      <c r="C18" s="1306"/>
      <c r="D18" s="1306"/>
      <c r="E18" s="1306"/>
      <c r="F18" s="1306"/>
      <c r="G18" s="1306"/>
      <c r="H18" s="1306"/>
      <c r="I18" s="1306"/>
      <c r="J18" s="1306"/>
      <c r="K18" s="1306"/>
      <c r="L18" s="1306"/>
      <c r="M18" s="1306"/>
      <c r="N18" s="1306"/>
      <c r="O18" s="1306"/>
      <c r="P18" s="1306"/>
      <c r="Q18" s="1306"/>
      <c r="R18" s="1306"/>
      <c r="S18" s="1306"/>
      <c r="T18" s="419"/>
      <c r="U18" s="419"/>
      <c r="V18" s="419"/>
      <c r="W18" s="420"/>
    </row>
    <row r="19" spans="1:23" ht="31.5">
      <c r="A19" s="115" t="s">
        <v>219</v>
      </c>
      <c r="B19" s="1303">
        <f aca="true" t="shared" si="5" ref="B19:V19">B21+B22+B23</f>
        <v>0</v>
      </c>
      <c r="C19" s="1296">
        <f t="shared" si="5"/>
        <v>0</v>
      </c>
      <c r="D19" s="1286">
        <f t="shared" si="5"/>
        <v>0</v>
      </c>
      <c r="E19" s="1286">
        <f t="shared" si="5"/>
        <v>0</v>
      </c>
      <c r="F19" s="1286">
        <f t="shared" si="5"/>
        <v>0</v>
      </c>
      <c r="G19" s="1286">
        <f t="shared" si="5"/>
        <v>0</v>
      </c>
      <c r="H19" s="1286">
        <f t="shared" si="5"/>
        <v>0</v>
      </c>
      <c r="I19" s="1286">
        <f t="shared" si="5"/>
        <v>0</v>
      </c>
      <c r="J19" s="1290">
        <f t="shared" si="5"/>
        <v>0</v>
      </c>
      <c r="K19" s="1290">
        <f t="shared" si="5"/>
        <v>0</v>
      </c>
      <c r="L19" s="1290">
        <f t="shared" si="5"/>
        <v>0</v>
      </c>
      <c r="M19" s="1290">
        <f t="shared" si="5"/>
        <v>0</v>
      </c>
      <c r="N19" s="1292">
        <f t="shared" si="5"/>
        <v>0</v>
      </c>
      <c r="O19" s="1294">
        <f t="shared" si="5"/>
        <v>97.6923076923077</v>
      </c>
      <c r="P19" s="1296">
        <f t="shared" si="5"/>
        <v>82.6923076923077</v>
      </c>
      <c r="Q19" s="1286">
        <f t="shared" si="5"/>
        <v>0</v>
      </c>
      <c r="R19" s="1286">
        <f t="shared" si="5"/>
        <v>0</v>
      </c>
      <c r="S19" s="1287">
        <f t="shared" si="5"/>
        <v>15</v>
      </c>
      <c r="T19" s="1288">
        <f t="shared" si="5"/>
        <v>80</v>
      </c>
      <c r="U19" s="1288">
        <f t="shared" si="5"/>
        <v>120</v>
      </c>
      <c r="V19" s="1320">
        <f t="shared" si="5"/>
        <v>170</v>
      </c>
      <c r="W19" s="415">
        <f>V19+U19+T19+O19+B19</f>
        <v>467.6923076923077</v>
      </c>
    </row>
    <row r="20" spans="1:23" ht="16.5" thickBot="1">
      <c r="A20" s="115" t="s">
        <v>149</v>
      </c>
      <c r="B20" s="1304"/>
      <c r="C20" s="1281"/>
      <c r="D20" s="1275"/>
      <c r="E20" s="1275"/>
      <c r="F20" s="1275"/>
      <c r="G20" s="1275"/>
      <c r="H20" s="1275"/>
      <c r="I20" s="1275"/>
      <c r="J20" s="1291"/>
      <c r="K20" s="1291"/>
      <c r="L20" s="1291"/>
      <c r="M20" s="1291"/>
      <c r="N20" s="1293"/>
      <c r="O20" s="1295"/>
      <c r="P20" s="1281"/>
      <c r="Q20" s="1275"/>
      <c r="R20" s="1275"/>
      <c r="S20" s="1276"/>
      <c r="T20" s="1289"/>
      <c r="U20" s="1289"/>
      <c r="V20" s="1321"/>
      <c r="W20" s="412"/>
    </row>
    <row r="21" spans="1:23" ht="32.25" thickBot="1">
      <c r="A21" s="106" t="s">
        <v>354</v>
      </c>
      <c r="B21" s="331">
        <f>SUM(C21:N21)</f>
        <v>0</v>
      </c>
      <c r="C21" s="318"/>
      <c r="D21" s="295"/>
      <c r="E21" s="295"/>
      <c r="F21" s="295"/>
      <c r="G21" s="295"/>
      <c r="H21" s="295"/>
      <c r="I21" s="295"/>
      <c r="J21" s="492">
        <f>'2-инвестиции'!K46</f>
        <v>0</v>
      </c>
      <c r="K21" s="492">
        <f>'2-инвестиции'!L46</f>
        <v>0</v>
      </c>
      <c r="L21" s="492">
        <f>'2-инвестиции'!M46</f>
        <v>0</v>
      </c>
      <c r="M21" s="492">
        <f>'2-инвестиции'!N46</f>
        <v>0</v>
      </c>
      <c r="N21" s="493">
        <f>'2-инвестиции'!O46</f>
        <v>0</v>
      </c>
      <c r="O21" s="401">
        <f>'2-инвестиции'!P46</f>
        <v>97.6923076923077</v>
      </c>
      <c r="P21" s="397">
        <f>'2-инвестиции'!Q46</f>
        <v>82.6923076923077</v>
      </c>
      <c r="Q21" s="397">
        <f>'2-инвестиции'!R46</f>
        <v>0</v>
      </c>
      <c r="R21" s="397">
        <f>'2-инвестиции'!S46</f>
        <v>0</v>
      </c>
      <c r="S21" s="397">
        <f>'2-инвестиции'!T46</f>
        <v>15</v>
      </c>
      <c r="T21" s="495">
        <f>'2-инвестиции'!U46</f>
        <v>80</v>
      </c>
      <c r="U21" s="350">
        <f>'2-инвестиции'!V46</f>
        <v>120</v>
      </c>
      <c r="V21" s="350">
        <f>'2-инвестиции'!W46</f>
        <v>170</v>
      </c>
      <c r="W21" s="412">
        <f>V21+U21+T21+O21+B21</f>
        <v>467.6923076923077</v>
      </c>
    </row>
    <row r="22" spans="1:23" ht="16.5" thickBot="1">
      <c r="A22" s="106" t="s">
        <v>220</v>
      </c>
      <c r="B22" s="331"/>
      <c r="C22" s="313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48"/>
      <c r="O22" s="331"/>
      <c r="P22" s="313"/>
      <c r="Q22" s="314"/>
      <c r="R22" s="314"/>
      <c r="S22" s="315"/>
      <c r="T22" s="334"/>
      <c r="U22" s="332"/>
      <c r="V22" s="342"/>
      <c r="W22" s="412"/>
    </row>
    <row r="23" spans="1:23" ht="32.25" thickBot="1">
      <c r="A23" s="109" t="s">
        <v>221</v>
      </c>
      <c r="B23" s="344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47"/>
      <c r="O23" s="330"/>
      <c r="P23" s="316"/>
      <c r="Q23" s="317"/>
      <c r="R23" s="317"/>
      <c r="S23" s="399"/>
      <c r="T23" s="333"/>
      <c r="U23" s="330"/>
      <c r="V23" s="344"/>
      <c r="W23" s="496" t="s">
        <v>356</v>
      </c>
    </row>
    <row r="24" spans="1:23" ht="16.5" thickBot="1">
      <c r="A24" s="117" t="s">
        <v>355</v>
      </c>
      <c r="B24" s="331"/>
      <c r="C24" s="491"/>
      <c r="D24" s="491"/>
      <c r="E24" s="491"/>
      <c r="F24" s="491"/>
      <c r="G24" s="491"/>
      <c r="H24" s="491"/>
      <c r="I24" s="491"/>
      <c r="J24" s="491"/>
      <c r="K24" s="397"/>
      <c r="L24" s="397"/>
      <c r="M24" s="397"/>
      <c r="N24" s="400"/>
      <c r="O24" s="401">
        <f>O21</f>
        <v>97.6923076923077</v>
      </c>
      <c r="P24" s="397">
        <f aca="true" t="shared" si="6" ref="P24:V24">P21</f>
        <v>82.6923076923077</v>
      </c>
      <c r="Q24" s="397">
        <f t="shared" si="6"/>
        <v>0</v>
      </c>
      <c r="R24" s="397">
        <f t="shared" si="6"/>
        <v>0</v>
      </c>
      <c r="S24" s="397">
        <f t="shared" si="6"/>
        <v>15</v>
      </c>
      <c r="T24" s="495">
        <f t="shared" si="6"/>
        <v>80</v>
      </c>
      <c r="U24" s="350">
        <f t="shared" si="6"/>
        <v>120</v>
      </c>
      <c r="V24" s="350">
        <f t="shared" si="6"/>
        <v>170</v>
      </c>
      <c r="W24" s="413">
        <f>V24+U24+T24+O24+B24</f>
        <v>467.6923076923077</v>
      </c>
    </row>
    <row r="25" spans="1:23" ht="34.5" customHeight="1" thickBot="1">
      <c r="A25" s="117" t="s">
        <v>222</v>
      </c>
      <c r="B25" s="345">
        <f aca="true" t="shared" si="7" ref="B25:N25">B19-B24</f>
        <v>0</v>
      </c>
      <c r="C25" s="397">
        <f t="shared" si="7"/>
        <v>0</v>
      </c>
      <c r="D25" s="397">
        <f t="shared" si="7"/>
        <v>0</v>
      </c>
      <c r="E25" s="397">
        <f t="shared" si="7"/>
        <v>0</v>
      </c>
      <c r="F25" s="397">
        <f t="shared" si="7"/>
        <v>0</v>
      </c>
      <c r="G25" s="397">
        <f t="shared" si="7"/>
        <v>0</v>
      </c>
      <c r="H25" s="397">
        <f t="shared" si="7"/>
        <v>0</v>
      </c>
      <c r="I25" s="397">
        <f t="shared" si="7"/>
        <v>0</v>
      </c>
      <c r="J25" s="494">
        <f t="shared" si="7"/>
        <v>0</v>
      </c>
      <c r="K25" s="492">
        <f t="shared" si="7"/>
        <v>0</v>
      </c>
      <c r="L25" s="492">
        <f t="shared" si="7"/>
        <v>0</v>
      </c>
      <c r="M25" s="492">
        <f t="shared" si="7"/>
        <v>0</v>
      </c>
      <c r="N25" s="493">
        <f t="shared" si="7"/>
        <v>0</v>
      </c>
      <c r="O25" s="350">
        <f aca="true" t="shared" si="8" ref="O25:V25">O19-O24</f>
        <v>0</v>
      </c>
      <c r="P25" s="402">
        <f t="shared" si="8"/>
        <v>0</v>
      </c>
      <c r="Q25" s="314">
        <f t="shared" si="8"/>
        <v>0</v>
      </c>
      <c r="R25" s="314">
        <f t="shared" si="8"/>
        <v>0</v>
      </c>
      <c r="S25" s="348">
        <f t="shared" si="8"/>
        <v>0</v>
      </c>
      <c r="T25" s="401">
        <f t="shared" si="8"/>
        <v>0</v>
      </c>
      <c r="U25" s="350">
        <f t="shared" si="8"/>
        <v>0</v>
      </c>
      <c r="V25" s="398">
        <f t="shared" si="8"/>
        <v>0</v>
      </c>
      <c r="W25" s="414">
        <f>V25+U25+T25+O25+B25</f>
        <v>0</v>
      </c>
    </row>
    <row r="26" spans="1:23" ht="48" thickBot="1">
      <c r="A26" s="117" t="s">
        <v>223</v>
      </c>
      <c r="B26" s="345">
        <f>SUM(C26:N26)</f>
        <v>208.33060988573646</v>
      </c>
      <c r="C26" s="313">
        <f aca="true" t="shared" si="9" ref="C26:N26">C25+C16</f>
        <v>-41.874347163980886</v>
      </c>
      <c r="D26" s="314">
        <f t="shared" si="9"/>
        <v>-62.81148721411561</v>
      </c>
      <c r="E26" s="314">
        <f t="shared" si="9"/>
        <v>-45.489113479855725</v>
      </c>
      <c r="F26" s="314">
        <f t="shared" si="9"/>
        <v>-69.22686845011214</v>
      </c>
      <c r="G26" s="314">
        <f t="shared" si="9"/>
        <v>-56.515870860368544</v>
      </c>
      <c r="H26" s="314">
        <f t="shared" si="9"/>
        <v>-49.90030281256324</v>
      </c>
      <c r="I26" s="314">
        <f t="shared" si="9"/>
        <v>245.367556487741</v>
      </c>
      <c r="J26" s="314">
        <f t="shared" si="9"/>
        <v>-72.89112305941244</v>
      </c>
      <c r="K26" s="295">
        <f t="shared" si="9"/>
        <v>-58.54943014659192</v>
      </c>
      <c r="L26" s="295">
        <f t="shared" si="9"/>
        <v>-58.32513563377141</v>
      </c>
      <c r="M26" s="295">
        <f t="shared" si="9"/>
        <v>-58.100841120950896</v>
      </c>
      <c r="N26" s="299">
        <f t="shared" si="9"/>
        <v>536.6475733397183</v>
      </c>
      <c r="O26" s="337">
        <f aca="true" t="shared" si="10" ref="O26:V26">O16+O25</f>
        <v>4081.556091813044</v>
      </c>
      <c r="P26" s="288">
        <f t="shared" si="10"/>
        <v>610.9983730041774</v>
      </c>
      <c r="Q26" s="295">
        <f t="shared" si="10"/>
        <v>903.736435636459</v>
      </c>
      <c r="R26" s="295">
        <f t="shared" si="10"/>
        <v>1146.2424252570067</v>
      </c>
      <c r="S26" s="299">
        <f t="shared" si="10"/>
        <v>1388.5297048775547</v>
      </c>
      <c r="T26" s="335">
        <f t="shared" si="10"/>
        <v>6859.611047537478</v>
      </c>
      <c r="U26" s="331">
        <f t="shared" si="10"/>
        <v>11744.13319007502</v>
      </c>
      <c r="V26" s="345">
        <f t="shared" si="10"/>
        <v>19889.706480311583</v>
      </c>
      <c r="W26" s="414">
        <f>V26+U26+T26+O26+B26</f>
        <v>42783.33741962286</v>
      </c>
    </row>
    <row r="27" spans="1:23" ht="16.5" thickBot="1">
      <c r="A27" s="104" t="s">
        <v>224</v>
      </c>
      <c r="B27" s="341">
        <f>N27</f>
        <v>208.33060988573646</v>
      </c>
      <c r="C27" s="1080">
        <f>C26</f>
        <v>-41.874347163980886</v>
      </c>
      <c r="D27" s="1081">
        <f aca="true" t="shared" si="11" ref="D27:I27">C27+D26</f>
        <v>-104.6858343780965</v>
      </c>
      <c r="E27" s="1081">
        <f t="shared" si="11"/>
        <v>-150.17494785795222</v>
      </c>
      <c r="F27" s="1081">
        <f t="shared" si="11"/>
        <v>-219.40181630806435</v>
      </c>
      <c r="G27" s="1081">
        <f t="shared" si="11"/>
        <v>-275.9176871684329</v>
      </c>
      <c r="H27" s="1081">
        <f t="shared" si="11"/>
        <v>-325.8179899809961</v>
      </c>
      <c r="I27" s="1081">
        <f t="shared" si="11"/>
        <v>-80.4504334932551</v>
      </c>
      <c r="J27" s="1081">
        <f>I27+J26</f>
        <v>-153.34155655266756</v>
      </c>
      <c r="K27" s="1081">
        <f>J27+K26</f>
        <v>-211.89098669925949</v>
      </c>
      <c r="L27" s="1081">
        <f>K27+L26</f>
        <v>-270.2161223330309</v>
      </c>
      <c r="M27" s="1081">
        <f>L27+M26</f>
        <v>-328.3169634539818</v>
      </c>
      <c r="N27" s="399">
        <f>M27+N26</f>
        <v>208.33060988573646</v>
      </c>
      <c r="O27" s="338">
        <f>S27</f>
        <v>4257.837548660935</v>
      </c>
      <c r="P27" s="316">
        <f>N27+P26</f>
        <v>819.328982889914</v>
      </c>
      <c r="Q27" s="317">
        <f aca="true" t="shared" si="12" ref="Q27:V27">Q26+P27</f>
        <v>1723.065418526373</v>
      </c>
      <c r="R27" s="317">
        <f t="shared" si="12"/>
        <v>2869.3078437833797</v>
      </c>
      <c r="S27" s="399">
        <f t="shared" si="12"/>
        <v>4257.837548660935</v>
      </c>
      <c r="T27" s="334">
        <f t="shared" si="12"/>
        <v>11117.448596198414</v>
      </c>
      <c r="U27" s="334">
        <f t="shared" si="12"/>
        <v>22861.581786273433</v>
      </c>
      <c r="V27" s="338">
        <f t="shared" si="12"/>
        <v>42751.28826658502</v>
      </c>
      <c r="W27" s="412"/>
    </row>
    <row r="28" spans="1:23" ht="16.5" thickBot="1">
      <c r="A28" s="1305" t="s">
        <v>282</v>
      </c>
      <c r="B28" s="1306"/>
      <c r="C28" s="1318"/>
      <c r="D28" s="1318"/>
      <c r="E28" s="1318"/>
      <c r="F28" s="1318"/>
      <c r="G28" s="1318"/>
      <c r="H28" s="1318"/>
      <c r="I28" s="1318"/>
      <c r="J28" s="1318"/>
      <c r="K28" s="1318"/>
      <c r="L28" s="1318"/>
      <c r="M28" s="1318"/>
      <c r="N28" s="1318"/>
      <c r="O28" s="1306"/>
      <c r="P28" s="1306"/>
      <c r="Q28" s="1306"/>
      <c r="R28" s="1306"/>
      <c r="S28" s="1306"/>
      <c r="T28" s="419"/>
      <c r="U28" s="419"/>
      <c r="V28" s="419"/>
      <c r="W28" s="420"/>
    </row>
    <row r="29" spans="1:23" ht="31.5">
      <c r="A29" s="115" t="s">
        <v>225</v>
      </c>
      <c r="B29" s="1279">
        <f>SUM(C29:N30)</f>
        <v>505</v>
      </c>
      <c r="C29" s="1277">
        <f>C33+C36</f>
        <v>55</v>
      </c>
      <c r="D29" s="1274">
        <f aca="true" t="shared" si="13" ref="D29:I29">D33+D36</f>
        <v>90</v>
      </c>
      <c r="E29" s="1274">
        <f t="shared" si="13"/>
        <v>60</v>
      </c>
      <c r="F29" s="1274">
        <f t="shared" si="13"/>
        <v>100</v>
      </c>
      <c r="G29" s="1274">
        <f t="shared" si="13"/>
        <v>75</v>
      </c>
      <c r="H29" s="1274">
        <f t="shared" si="13"/>
        <v>60</v>
      </c>
      <c r="I29" s="1274">
        <f t="shared" si="13"/>
        <v>65</v>
      </c>
      <c r="J29" s="1274"/>
      <c r="K29" s="1274"/>
      <c r="L29" s="1274"/>
      <c r="M29" s="1274"/>
      <c r="N29" s="1278"/>
      <c r="O29" s="1299"/>
      <c r="P29" s="1300"/>
      <c r="Q29" s="1298"/>
      <c r="R29" s="1298"/>
      <c r="S29" s="1297"/>
      <c r="T29" s="1283"/>
      <c r="U29" s="1303"/>
      <c r="V29" s="1280"/>
      <c r="W29" s="412"/>
    </row>
    <row r="30" spans="1:23" ht="15.75">
      <c r="A30" s="115" t="s">
        <v>149</v>
      </c>
      <c r="B30" s="1280"/>
      <c r="C30" s="1244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39"/>
      <c r="O30" s="1299"/>
      <c r="P30" s="1300"/>
      <c r="Q30" s="1298"/>
      <c r="R30" s="1302"/>
      <c r="S30" s="1297"/>
      <c r="T30" s="1283"/>
      <c r="U30" s="1303"/>
      <c r="V30" s="1280"/>
      <c r="W30" s="412"/>
    </row>
    <row r="31" spans="1:23" ht="15.75">
      <c r="A31" s="106" t="s">
        <v>226</v>
      </c>
      <c r="B31" s="1280"/>
      <c r="C31" s="1300"/>
      <c r="D31" s="120"/>
      <c r="E31" s="120"/>
      <c r="F31" s="120"/>
      <c r="G31" s="120"/>
      <c r="H31" s="120"/>
      <c r="I31" s="120"/>
      <c r="J31" s="120"/>
      <c r="K31" s="120"/>
      <c r="L31" s="1298"/>
      <c r="M31" s="1298"/>
      <c r="N31" s="1297"/>
      <c r="O31" s="1299"/>
      <c r="P31" s="1300"/>
      <c r="Q31" s="1298"/>
      <c r="R31" s="1298"/>
      <c r="S31" s="1297"/>
      <c r="T31" s="1283"/>
      <c r="U31" s="1303"/>
      <c r="V31" s="1280"/>
      <c r="W31" s="412"/>
    </row>
    <row r="32" spans="1:23" ht="15.75">
      <c r="A32" s="106" t="s">
        <v>227</v>
      </c>
      <c r="B32" s="1280"/>
      <c r="C32" s="1300"/>
      <c r="D32" s="120"/>
      <c r="E32" s="120"/>
      <c r="F32" s="120"/>
      <c r="G32" s="120"/>
      <c r="H32" s="120"/>
      <c r="I32" s="120"/>
      <c r="J32" s="120"/>
      <c r="K32" s="120"/>
      <c r="L32" s="1298"/>
      <c r="M32" s="1298"/>
      <c r="N32" s="1297"/>
      <c r="O32" s="1299"/>
      <c r="P32" s="1300"/>
      <c r="Q32" s="1298"/>
      <c r="R32" s="1298"/>
      <c r="S32" s="1297"/>
      <c r="T32" s="1283"/>
      <c r="U32" s="1303"/>
      <c r="V32" s="1280"/>
      <c r="W32" s="412"/>
    </row>
    <row r="33" spans="1:23" ht="15.75">
      <c r="A33" s="106" t="s">
        <v>228</v>
      </c>
      <c r="B33" s="343">
        <f>SUM(C33:I33)</f>
        <v>505</v>
      </c>
      <c r="C33" s="288">
        <f>'2-инвестиции'!D47</f>
        <v>55</v>
      </c>
      <c r="D33" s="295">
        <f>'2-инвестиции'!E47</f>
        <v>90</v>
      </c>
      <c r="E33" s="295">
        <f>'2-инвестиции'!F47</f>
        <v>60</v>
      </c>
      <c r="F33" s="295">
        <f>'2-инвестиции'!G47</f>
        <v>100</v>
      </c>
      <c r="G33" s="295">
        <f>'2-инвестиции'!H47</f>
        <v>75</v>
      </c>
      <c r="H33" s="295">
        <f>'2-инвестиции'!I47</f>
        <v>60</v>
      </c>
      <c r="I33" s="295">
        <f>'2-инвестиции'!J47</f>
        <v>65</v>
      </c>
      <c r="J33" s="120"/>
      <c r="K33" s="120"/>
      <c r="L33" s="120"/>
      <c r="M33" s="120"/>
      <c r="N33" s="99"/>
      <c r="O33" s="338"/>
      <c r="P33" s="119"/>
      <c r="Q33" s="120"/>
      <c r="R33" s="120"/>
      <c r="S33" s="99"/>
      <c r="T33" s="334"/>
      <c r="U33" s="334"/>
      <c r="V33" s="338"/>
      <c r="W33" s="412"/>
    </row>
    <row r="34" spans="1:23" ht="15.75">
      <c r="A34" s="106" t="s">
        <v>467</v>
      </c>
      <c r="B34" s="343"/>
      <c r="C34" s="119">
        <f>C33</f>
        <v>55</v>
      </c>
      <c r="D34" s="120">
        <f aca="true" t="shared" si="14" ref="D34:N34">C34+D33</f>
        <v>145</v>
      </c>
      <c r="E34" s="120">
        <f t="shared" si="14"/>
        <v>205</v>
      </c>
      <c r="F34" s="120">
        <f t="shared" si="14"/>
        <v>305</v>
      </c>
      <c r="G34" s="120">
        <f t="shared" si="14"/>
        <v>380</v>
      </c>
      <c r="H34" s="120">
        <f t="shared" si="14"/>
        <v>440</v>
      </c>
      <c r="I34" s="120">
        <f t="shared" si="14"/>
        <v>505</v>
      </c>
      <c r="J34" s="120">
        <f t="shared" si="14"/>
        <v>505</v>
      </c>
      <c r="K34" s="120">
        <f t="shared" si="14"/>
        <v>505</v>
      </c>
      <c r="L34" s="120">
        <f t="shared" si="14"/>
        <v>505</v>
      </c>
      <c r="M34" s="120">
        <f t="shared" si="14"/>
        <v>505</v>
      </c>
      <c r="N34" s="99">
        <f t="shared" si="14"/>
        <v>505</v>
      </c>
      <c r="O34" s="338"/>
      <c r="P34" s="119"/>
      <c r="Q34" s="120"/>
      <c r="R34" s="120"/>
      <c r="S34" s="99"/>
      <c r="T34" s="334"/>
      <c r="U34" s="334"/>
      <c r="V34" s="338"/>
      <c r="W34" s="412"/>
    </row>
    <row r="35" spans="1:23" ht="15.75">
      <c r="A35" s="126" t="s">
        <v>229</v>
      </c>
      <c r="B35" s="343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99"/>
      <c r="O35" s="338"/>
      <c r="P35" s="119"/>
      <c r="Q35" s="120"/>
      <c r="R35" s="120"/>
      <c r="S35" s="99"/>
      <c r="T35" s="334"/>
      <c r="U35" s="334"/>
      <c r="V35" s="338"/>
      <c r="W35" s="412"/>
    </row>
    <row r="36" spans="1:23" ht="15.75">
      <c r="A36" s="106" t="s">
        <v>230</v>
      </c>
      <c r="B36" s="343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99"/>
      <c r="O36" s="338"/>
      <c r="P36" s="119"/>
      <c r="Q36" s="120"/>
      <c r="R36" s="120"/>
      <c r="S36" s="99"/>
      <c r="T36" s="334"/>
      <c r="U36" s="334"/>
      <c r="V36" s="338"/>
      <c r="W36" s="412"/>
    </row>
    <row r="37" spans="1:23" ht="31.5">
      <c r="A37" s="115" t="s">
        <v>231</v>
      </c>
      <c r="B37" s="1280">
        <f>SUM(C37:N38)</f>
        <v>581</v>
      </c>
      <c r="C37" s="1244">
        <f>C39+C45+C50</f>
        <v>0.9166666666666666</v>
      </c>
      <c r="D37" s="1238">
        <f aca="true" t="shared" si="15" ref="D37:I37">D39+D45+D50</f>
        <v>2.4166666666666665</v>
      </c>
      <c r="E37" s="1238">
        <f t="shared" si="15"/>
        <v>3.4166666666666665</v>
      </c>
      <c r="F37" s="1238">
        <f t="shared" si="15"/>
        <v>5.083333333333333</v>
      </c>
      <c r="G37" s="1238">
        <f t="shared" si="15"/>
        <v>6.333333333333333</v>
      </c>
      <c r="H37" s="1238">
        <f t="shared" si="15"/>
        <v>7.333333333333333</v>
      </c>
      <c r="I37" s="1238">
        <f t="shared" si="15"/>
        <v>8.416666666666666</v>
      </c>
      <c r="J37" s="1238">
        <f>J39+J45+J50</f>
        <v>8.416666666666666</v>
      </c>
      <c r="K37" s="1238">
        <f>K39+K45+K50</f>
        <v>8.416666666666666</v>
      </c>
      <c r="L37" s="1238">
        <f>L39+L45+L50</f>
        <v>8.416666666666666</v>
      </c>
      <c r="M37" s="1238">
        <f>M39+M45+M50</f>
        <v>8.416666666666666</v>
      </c>
      <c r="N37" s="1239">
        <f>N39+N45+N50</f>
        <v>513.4166666666666</v>
      </c>
      <c r="O37" s="1299"/>
      <c r="P37" s="1300"/>
      <c r="Q37" s="1298"/>
      <c r="R37" s="1298"/>
      <c r="S37" s="1297"/>
      <c r="T37" s="1283"/>
      <c r="U37" s="1303"/>
      <c r="V37" s="1280"/>
      <c r="W37" s="412"/>
    </row>
    <row r="38" spans="1:23" ht="15.75">
      <c r="A38" s="115" t="s">
        <v>149</v>
      </c>
      <c r="B38" s="1280"/>
      <c r="C38" s="1244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9"/>
      <c r="O38" s="1299"/>
      <c r="P38" s="1300"/>
      <c r="Q38" s="1298"/>
      <c r="R38" s="1298"/>
      <c r="S38" s="1297"/>
      <c r="T38" s="1283"/>
      <c r="U38" s="1303"/>
      <c r="V38" s="1280"/>
      <c r="W38" s="412"/>
    </row>
    <row r="39" spans="1:23" ht="31.5">
      <c r="A39" s="106" t="s">
        <v>232</v>
      </c>
      <c r="B39" s="342">
        <f>SUM(C39:N39)</f>
        <v>76</v>
      </c>
      <c r="C39" s="119">
        <f aca="true" t="shared" si="16" ref="C39:N39">C42+C43</f>
        <v>0.9166666666666666</v>
      </c>
      <c r="D39" s="120">
        <f t="shared" si="16"/>
        <v>2.4166666666666665</v>
      </c>
      <c r="E39" s="120">
        <f t="shared" si="16"/>
        <v>3.4166666666666665</v>
      </c>
      <c r="F39" s="120">
        <f t="shared" si="16"/>
        <v>5.083333333333333</v>
      </c>
      <c r="G39" s="120">
        <f t="shared" si="16"/>
        <v>6.333333333333333</v>
      </c>
      <c r="H39" s="120">
        <f t="shared" si="16"/>
        <v>7.333333333333333</v>
      </c>
      <c r="I39" s="120">
        <f t="shared" si="16"/>
        <v>8.416666666666666</v>
      </c>
      <c r="J39" s="120">
        <f t="shared" si="16"/>
        <v>8.416666666666666</v>
      </c>
      <c r="K39" s="120">
        <f t="shared" si="16"/>
        <v>8.416666666666666</v>
      </c>
      <c r="L39" s="120">
        <f>L42+L43</f>
        <v>8.416666666666666</v>
      </c>
      <c r="M39" s="120">
        <f t="shared" si="16"/>
        <v>8.416666666666666</v>
      </c>
      <c r="N39" s="99">
        <f t="shared" si="16"/>
        <v>8.416666666666666</v>
      </c>
      <c r="O39" s="338"/>
      <c r="P39" s="119"/>
      <c r="Q39" s="120"/>
      <c r="R39" s="120"/>
      <c r="S39" s="99"/>
      <c r="T39" s="334"/>
      <c r="U39" s="332"/>
      <c r="V39" s="342"/>
      <c r="W39" s="412"/>
    </row>
    <row r="40" spans="1:23" ht="15.75">
      <c r="A40" s="126" t="s">
        <v>162</v>
      </c>
      <c r="B40" s="1301"/>
      <c r="C40" s="1300"/>
      <c r="D40" s="120"/>
      <c r="E40" s="120"/>
      <c r="F40" s="120"/>
      <c r="G40" s="120"/>
      <c r="H40" s="120"/>
      <c r="I40" s="120"/>
      <c r="J40" s="120"/>
      <c r="K40" s="120"/>
      <c r="L40" s="1298"/>
      <c r="M40" s="1298"/>
      <c r="N40" s="1297"/>
      <c r="O40" s="1299"/>
      <c r="P40" s="1300"/>
      <c r="Q40" s="1298"/>
      <c r="R40" s="1298"/>
      <c r="S40" s="1297"/>
      <c r="T40" s="1283"/>
      <c r="U40" s="1303"/>
      <c r="V40" s="1280"/>
      <c r="W40" s="412"/>
    </row>
    <row r="41" spans="1:23" ht="0.75" customHeight="1">
      <c r="A41" s="126" t="s">
        <v>233</v>
      </c>
      <c r="B41" s="1301"/>
      <c r="C41" s="1300"/>
      <c r="D41" s="120"/>
      <c r="E41" s="120"/>
      <c r="F41" s="120"/>
      <c r="G41" s="120"/>
      <c r="H41" s="120"/>
      <c r="I41" s="120"/>
      <c r="J41" s="120"/>
      <c r="K41" s="120"/>
      <c r="L41" s="1298"/>
      <c r="M41" s="1298"/>
      <c r="N41" s="1297"/>
      <c r="O41" s="1299"/>
      <c r="P41" s="1300"/>
      <c r="Q41" s="1298"/>
      <c r="R41" s="1298"/>
      <c r="S41" s="1297"/>
      <c r="T41" s="1283"/>
      <c r="U41" s="1303"/>
      <c r="V41" s="1280"/>
      <c r="W41" s="412"/>
    </row>
    <row r="42" spans="1:23" ht="15.75" customHeight="1" thickBot="1">
      <c r="A42" s="126" t="s">
        <v>468</v>
      </c>
      <c r="B42" s="1082">
        <f>SUM(C42:I42)</f>
        <v>33.916666666666664</v>
      </c>
      <c r="C42" s="119">
        <f>C34*0.2/12</f>
        <v>0.9166666666666666</v>
      </c>
      <c r="D42" s="120">
        <f>D34*0.2/12</f>
        <v>2.4166666666666665</v>
      </c>
      <c r="E42" s="120">
        <f aca="true" t="shared" si="17" ref="E42:N42">E34*0.2/12</f>
        <v>3.4166666666666665</v>
      </c>
      <c r="F42" s="120">
        <f t="shared" si="17"/>
        <v>5.083333333333333</v>
      </c>
      <c r="G42" s="120">
        <f t="shared" si="17"/>
        <v>6.333333333333333</v>
      </c>
      <c r="H42" s="120">
        <f t="shared" si="17"/>
        <v>7.333333333333333</v>
      </c>
      <c r="I42" s="120">
        <f t="shared" si="17"/>
        <v>8.416666666666666</v>
      </c>
      <c r="J42" s="120">
        <f>J34*0.2/12</f>
        <v>8.416666666666666</v>
      </c>
      <c r="K42" s="120">
        <f t="shared" si="17"/>
        <v>8.416666666666666</v>
      </c>
      <c r="L42" s="120">
        <f t="shared" si="17"/>
        <v>8.416666666666666</v>
      </c>
      <c r="M42" s="120">
        <f t="shared" si="17"/>
        <v>8.416666666666666</v>
      </c>
      <c r="N42" s="99">
        <f t="shared" si="17"/>
        <v>8.416666666666666</v>
      </c>
      <c r="O42" s="338"/>
      <c r="P42" s="119"/>
      <c r="Q42" s="120"/>
      <c r="R42" s="120"/>
      <c r="S42" s="99"/>
      <c r="T42" s="334"/>
      <c r="U42" s="332"/>
      <c r="V42" s="342"/>
      <c r="W42" s="412"/>
    </row>
    <row r="43" spans="1:23" ht="0.75" customHeight="1">
      <c r="A43" s="126" t="s">
        <v>294</v>
      </c>
      <c r="B43" s="34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99"/>
      <c r="O43" s="338"/>
      <c r="P43" s="119"/>
      <c r="Q43" s="120"/>
      <c r="R43" s="120"/>
      <c r="S43" s="99"/>
      <c r="T43" s="334"/>
      <c r="U43" s="332"/>
      <c r="V43" s="342"/>
      <c r="W43" s="412"/>
    </row>
    <row r="44" spans="1:23" ht="15.75" customHeight="1" hidden="1">
      <c r="A44" s="126" t="s">
        <v>234</v>
      </c>
      <c r="B44" s="329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99"/>
      <c r="O44" s="338"/>
      <c r="P44" s="119"/>
      <c r="Q44" s="120"/>
      <c r="R44" s="120"/>
      <c r="S44" s="99"/>
      <c r="T44" s="334"/>
      <c r="U44" s="332"/>
      <c r="V44" s="342"/>
      <c r="W44" s="412"/>
    </row>
    <row r="45" spans="1:23" ht="15.75" customHeight="1" thickBot="1">
      <c r="A45" s="106" t="s">
        <v>235</v>
      </c>
      <c r="B45" s="342">
        <f>N45</f>
        <v>505</v>
      </c>
      <c r="C45" s="1083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1084">
        <f>N48</f>
        <v>505</v>
      </c>
      <c r="O45" s="338"/>
      <c r="P45" s="119"/>
      <c r="Q45" s="120"/>
      <c r="R45" s="120"/>
      <c r="S45" s="99"/>
      <c r="T45" s="334"/>
      <c r="U45" s="332"/>
      <c r="V45" s="342"/>
      <c r="W45" s="412"/>
    </row>
    <row r="46" spans="1:23" ht="15.75" customHeight="1" hidden="1" thickBot="1">
      <c r="A46" s="115" t="s">
        <v>162</v>
      </c>
      <c r="B46" s="1280"/>
      <c r="C46" s="1300"/>
      <c r="D46" s="120"/>
      <c r="E46" s="120"/>
      <c r="F46" s="120"/>
      <c r="G46" s="120"/>
      <c r="H46" s="120"/>
      <c r="I46" s="120"/>
      <c r="J46" s="120"/>
      <c r="K46" s="120"/>
      <c r="L46" s="1298"/>
      <c r="M46" s="1298"/>
      <c r="N46" s="1297"/>
      <c r="O46" s="1299"/>
      <c r="P46" s="1300"/>
      <c r="Q46" s="1298"/>
      <c r="R46" s="1298"/>
      <c r="S46" s="1297"/>
      <c r="T46" s="1283"/>
      <c r="U46" s="1303"/>
      <c r="V46" s="1280"/>
      <c r="W46" s="412"/>
    </row>
    <row r="47" spans="1:23" ht="15.75" customHeight="1" hidden="1" thickBot="1">
      <c r="A47" s="126" t="s">
        <v>233</v>
      </c>
      <c r="B47" s="1280"/>
      <c r="C47" s="1300"/>
      <c r="D47" s="120"/>
      <c r="E47" s="120"/>
      <c r="F47" s="120"/>
      <c r="G47" s="120"/>
      <c r="H47" s="120"/>
      <c r="I47" s="120"/>
      <c r="J47" s="120"/>
      <c r="K47" s="120"/>
      <c r="L47" s="1298"/>
      <c r="M47" s="1298"/>
      <c r="N47" s="1297"/>
      <c r="O47" s="1299"/>
      <c r="P47" s="1300"/>
      <c r="Q47" s="1298"/>
      <c r="R47" s="1298"/>
      <c r="S47" s="1297"/>
      <c r="T47" s="1283"/>
      <c r="U47" s="1303"/>
      <c r="V47" s="1280"/>
      <c r="W47" s="412"/>
    </row>
    <row r="48" spans="1:23" ht="15.75" customHeight="1" hidden="1" thickBot="1">
      <c r="A48" s="126" t="s">
        <v>236</v>
      </c>
      <c r="B48" s="342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99">
        <f>N34</f>
        <v>505</v>
      </c>
      <c r="O48" s="338"/>
      <c r="P48" s="119"/>
      <c r="Q48" s="120"/>
      <c r="R48" s="120"/>
      <c r="S48" s="99"/>
      <c r="T48" s="334"/>
      <c r="U48" s="332"/>
      <c r="V48" s="342"/>
      <c r="W48" s="412"/>
    </row>
    <row r="49" spans="1:23" ht="15.75" customHeight="1" hidden="1" thickBot="1">
      <c r="A49" s="126" t="s">
        <v>234</v>
      </c>
      <c r="B49" s="342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99"/>
      <c r="O49" s="338"/>
      <c r="P49" s="119"/>
      <c r="Q49" s="120"/>
      <c r="R49" s="120"/>
      <c r="S49" s="99"/>
      <c r="T49" s="334"/>
      <c r="U49" s="332"/>
      <c r="V49" s="342"/>
      <c r="W49" s="412"/>
    </row>
    <row r="50" spans="1:23" ht="15.75" customHeight="1" hidden="1" thickBot="1">
      <c r="A50" s="109" t="s">
        <v>237</v>
      </c>
      <c r="B50" s="344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99"/>
      <c r="O50" s="338"/>
      <c r="P50" s="119"/>
      <c r="Q50" s="120"/>
      <c r="R50" s="120"/>
      <c r="S50" s="99"/>
      <c r="T50" s="333"/>
      <c r="U50" s="330"/>
      <c r="V50" s="344"/>
      <c r="W50" s="412"/>
    </row>
    <row r="51" spans="1:23" ht="15.75" customHeight="1" thickBot="1">
      <c r="A51" s="1089" t="s">
        <v>238</v>
      </c>
      <c r="B51" s="345">
        <f>SUM(C51:N51)</f>
        <v>-76</v>
      </c>
      <c r="C51" s="307">
        <f>C29-C37</f>
        <v>54.083333333333336</v>
      </c>
      <c r="D51" s="307">
        <f aca="true" t="shared" si="18" ref="D51:N51">D29-D37</f>
        <v>87.58333333333333</v>
      </c>
      <c r="E51" s="307">
        <f t="shared" si="18"/>
        <v>56.583333333333336</v>
      </c>
      <c r="F51" s="307">
        <f t="shared" si="18"/>
        <v>94.91666666666667</v>
      </c>
      <c r="G51" s="307">
        <f t="shared" si="18"/>
        <v>68.66666666666667</v>
      </c>
      <c r="H51" s="307">
        <f t="shared" si="18"/>
        <v>52.666666666666664</v>
      </c>
      <c r="I51" s="307">
        <f t="shared" si="18"/>
        <v>56.583333333333336</v>
      </c>
      <c r="J51" s="307">
        <f t="shared" si="18"/>
        <v>-8.416666666666666</v>
      </c>
      <c r="K51" s="307">
        <f t="shared" si="18"/>
        <v>-8.416666666666666</v>
      </c>
      <c r="L51" s="307">
        <f t="shared" si="18"/>
        <v>-8.416666666666666</v>
      </c>
      <c r="M51" s="307">
        <f t="shared" si="18"/>
        <v>-8.416666666666666</v>
      </c>
      <c r="N51" s="307">
        <f t="shared" si="18"/>
        <v>-513.4166666666666</v>
      </c>
      <c r="O51" s="339">
        <f aca="true" t="shared" si="19" ref="O51:V51">O29-O37</f>
        <v>0</v>
      </c>
      <c r="P51" s="310">
        <f t="shared" si="19"/>
        <v>0</v>
      </c>
      <c r="Q51" s="297">
        <f t="shared" si="19"/>
        <v>0</v>
      </c>
      <c r="R51" s="297">
        <f t="shared" si="19"/>
        <v>0</v>
      </c>
      <c r="S51" s="298">
        <f t="shared" si="19"/>
        <v>0</v>
      </c>
      <c r="T51" s="335">
        <f t="shared" si="19"/>
        <v>0</v>
      </c>
      <c r="U51" s="331">
        <f t="shared" si="19"/>
        <v>0</v>
      </c>
      <c r="V51" s="345">
        <f t="shared" si="19"/>
        <v>0</v>
      </c>
      <c r="W51" s="412"/>
    </row>
    <row r="52" spans="1:23" ht="32.25" thickBot="1">
      <c r="A52" s="117" t="s">
        <v>239</v>
      </c>
      <c r="B52" s="1085">
        <f aca="true" t="shared" si="20" ref="B52:V52">B26+B51</f>
        <v>132.33060988573646</v>
      </c>
      <c r="C52" s="1086">
        <f t="shared" si="20"/>
        <v>12.20898616935245</v>
      </c>
      <c r="D52" s="1087">
        <f t="shared" si="20"/>
        <v>24.77184611921772</v>
      </c>
      <c r="E52" s="1087">
        <f t="shared" si="20"/>
        <v>11.094219853477611</v>
      </c>
      <c r="F52" s="1087">
        <f t="shared" si="20"/>
        <v>25.689798216554536</v>
      </c>
      <c r="G52" s="1087">
        <f t="shared" si="20"/>
        <v>12.150795806298127</v>
      </c>
      <c r="H52" s="1087">
        <f t="shared" si="20"/>
        <v>2.7663638541034246</v>
      </c>
      <c r="I52" s="1087">
        <f t="shared" si="20"/>
        <v>301.9508898210743</v>
      </c>
      <c r="J52" s="1087">
        <f t="shared" si="20"/>
        <v>-81.30778972607911</v>
      </c>
      <c r="K52" s="1087">
        <f t="shared" si="20"/>
        <v>-66.96609681325859</v>
      </c>
      <c r="L52" s="1087">
        <f t="shared" si="20"/>
        <v>-66.74180230043808</v>
      </c>
      <c r="M52" s="1087">
        <f t="shared" si="20"/>
        <v>-66.51750778761756</v>
      </c>
      <c r="N52" s="1088">
        <f t="shared" si="20"/>
        <v>23.230906673051663</v>
      </c>
      <c r="O52" s="340">
        <f t="shared" si="20"/>
        <v>4081.556091813044</v>
      </c>
      <c r="P52" s="311">
        <f t="shared" si="20"/>
        <v>610.9983730041774</v>
      </c>
      <c r="Q52" s="305">
        <f t="shared" si="20"/>
        <v>903.736435636459</v>
      </c>
      <c r="R52" s="305">
        <f t="shared" si="20"/>
        <v>1146.2424252570067</v>
      </c>
      <c r="S52" s="306">
        <f t="shared" si="20"/>
        <v>1388.5297048775547</v>
      </c>
      <c r="T52" s="335">
        <f t="shared" si="20"/>
        <v>6859.611047537478</v>
      </c>
      <c r="U52" s="331">
        <f t="shared" si="20"/>
        <v>11744.13319007502</v>
      </c>
      <c r="V52" s="345">
        <f t="shared" si="20"/>
        <v>19889.706480311583</v>
      </c>
      <c r="W52" s="414">
        <f>V52+U52+T52+O52+B52</f>
        <v>42707.33741962286</v>
      </c>
    </row>
    <row r="53" spans="1:23" ht="16.5" thickBot="1">
      <c r="A53" s="110" t="s">
        <v>224</v>
      </c>
      <c r="B53" s="345">
        <f>B52</f>
        <v>132.33060988573646</v>
      </c>
      <c r="C53" s="1091">
        <f>C52</f>
        <v>12.20898616935245</v>
      </c>
      <c r="D53" s="1090">
        <f aca="true" t="shared" si="21" ref="D53:I53">C53+D52</f>
        <v>36.98083228857017</v>
      </c>
      <c r="E53" s="1090">
        <f t="shared" si="21"/>
        <v>48.07505214204778</v>
      </c>
      <c r="F53" s="1090">
        <f t="shared" si="21"/>
        <v>73.76485035860232</v>
      </c>
      <c r="G53" s="1090">
        <f t="shared" si="21"/>
        <v>85.91564616490044</v>
      </c>
      <c r="H53" s="1090">
        <f t="shared" si="21"/>
        <v>88.68201001900385</v>
      </c>
      <c r="I53" s="1140">
        <f t="shared" si="21"/>
        <v>390.63289984007815</v>
      </c>
      <c r="J53" s="1090">
        <f>I53+J52</f>
        <v>309.325110113999</v>
      </c>
      <c r="K53" s="1090">
        <f>J53+K52</f>
        <v>242.35901330074043</v>
      </c>
      <c r="L53" s="1090">
        <f>K53+L52</f>
        <v>175.61721100030235</v>
      </c>
      <c r="M53" s="1093">
        <f>L53+M52</f>
        <v>109.09970321268479</v>
      </c>
      <c r="N53" s="1092">
        <f>M53+N52</f>
        <v>132.33060988573646</v>
      </c>
      <c r="O53" s="331">
        <f>S53</f>
        <v>4181.837548660935</v>
      </c>
      <c r="P53" s="312">
        <f>N53+P52</f>
        <v>743.328982889914</v>
      </c>
      <c r="Q53" s="308">
        <f aca="true" t="shared" si="22" ref="Q53:V53">P53+Q52</f>
        <v>1647.065418526373</v>
      </c>
      <c r="R53" s="308">
        <f t="shared" si="22"/>
        <v>2793.3078437833797</v>
      </c>
      <c r="S53" s="309">
        <f t="shared" si="22"/>
        <v>4181.837548660935</v>
      </c>
      <c r="T53" s="333">
        <f t="shared" si="22"/>
        <v>11041.448596198414</v>
      </c>
      <c r="U53" s="333">
        <f t="shared" si="22"/>
        <v>22785.581786273433</v>
      </c>
      <c r="V53" s="331">
        <f t="shared" si="22"/>
        <v>42675.28826658502</v>
      </c>
      <c r="W53" s="418"/>
    </row>
    <row r="54" spans="14:23" ht="14.25">
      <c r="N54" s="84" t="s">
        <v>298</v>
      </c>
      <c r="W54" s="418"/>
    </row>
    <row r="55" spans="13:23" ht="15" thickBot="1">
      <c r="M55" s="84"/>
      <c r="W55" s="418"/>
    </row>
    <row r="56" spans="1:23" s="421" customFormat="1" ht="15.75" thickBot="1">
      <c r="A56" s="425" t="s">
        <v>336</v>
      </c>
      <c r="B56" s="426">
        <f>7!C29</f>
        <v>159.88077307692308</v>
      </c>
      <c r="C56" s="427">
        <f>7!D29</f>
        <v>13.102564102564102</v>
      </c>
      <c r="D56" s="427">
        <f>7!E29</f>
        <v>13.294871794871796</v>
      </c>
      <c r="E56" s="427">
        <f>7!F29</f>
        <v>13.25705512820513</v>
      </c>
      <c r="F56" s="427">
        <f>7!G29</f>
        <v>13.203205128205129</v>
      </c>
      <c r="G56" s="427">
        <f>7!H29</f>
        <v>13.203205128205129</v>
      </c>
      <c r="H56" s="427">
        <f>7!I29</f>
        <v>13.331410256410257</v>
      </c>
      <c r="I56" s="427">
        <f>7!J29</f>
        <v>13.414743589743589</v>
      </c>
      <c r="J56" s="427">
        <f>7!K29</f>
        <v>13.414743589743589</v>
      </c>
      <c r="K56" s="427">
        <f>7!L29</f>
        <v>13.414743589743589</v>
      </c>
      <c r="L56" s="427">
        <f>7!M29</f>
        <v>13.414743589743589</v>
      </c>
      <c r="M56" s="427">
        <f>7!N29</f>
        <v>13.414743589743589</v>
      </c>
      <c r="N56" s="427">
        <f>7!O29</f>
        <v>13.414743589743589</v>
      </c>
      <c r="O56" s="426">
        <f>7!P29</f>
        <v>177.64038461538462</v>
      </c>
      <c r="P56" s="427">
        <f>7!Q29</f>
        <v>44.378846153846155</v>
      </c>
      <c r="Q56" s="427">
        <f>7!R29</f>
        <v>44.378846153846155</v>
      </c>
      <c r="R56" s="427">
        <f>7!S29</f>
        <v>44.378846153846155</v>
      </c>
      <c r="S56" s="427">
        <f>7!T29</f>
        <v>44.503846153846155</v>
      </c>
      <c r="T56" s="428">
        <f>7!U29</f>
        <v>189.01538461538462</v>
      </c>
      <c r="U56" s="426">
        <f>7!V29</f>
        <v>204.6820512820513</v>
      </c>
      <c r="V56" s="429">
        <f>7!W29</f>
        <v>226.0153846153846</v>
      </c>
      <c r="W56" s="430">
        <f>V56+U56+T56+O56+B56</f>
        <v>957.2339782051282</v>
      </c>
    </row>
    <row r="57" spans="1:22" s="421" customFormat="1" ht="15.75" thickBot="1">
      <c r="A57" s="425" t="s">
        <v>337</v>
      </c>
      <c r="B57" s="426">
        <f>N57</f>
        <v>159.88077307692308</v>
      </c>
      <c r="C57" s="431">
        <f>C56</f>
        <v>13.102564102564102</v>
      </c>
      <c r="D57" s="431">
        <f>D56+C57</f>
        <v>26.397435897435898</v>
      </c>
      <c r="E57" s="431">
        <f aca="true" t="shared" si="23" ref="E57:N57">E56+D57</f>
        <v>39.65449102564103</v>
      </c>
      <c r="F57" s="431">
        <f t="shared" si="23"/>
        <v>52.857696153846156</v>
      </c>
      <c r="G57" s="431">
        <f t="shared" si="23"/>
        <v>66.06090128205129</v>
      </c>
      <c r="H57" s="431">
        <f t="shared" si="23"/>
        <v>79.39231153846154</v>
      </c>
      <c r="I57" s="431">
        <f t="shared" si="23"/>
        <v>92.80705512820514</v>
      </c>
      <c r="J57" s="431">
        <f t="shared" si="23"/>
        <v>106.22179871794873</v>
      </c>
      <c r="K57" s="431">
        <f t="shared" si="23"/>
        <v>119.63654230769232</v>
      </c>
      <c r="L57" s="431">
        <f t="shared" si="23"/>
        <v>133.05128589743592</v>
      </c>
      <c r="M57" s="431">
        <f t="shared" si="23"/>
        <v>146.4660294871795</v>
      </c>
      <c r="N57" s="431">
        <f t="shared" si="23"/>
        <v>159.88077307692308</v>
      </c>
      <c r="O57" s="432">
        <f>S57</f>
        <v>337.52115769230767</v>
      </c>
      <c r="P57" s="431">
        <f>P56+N57</f>
        <v>204.25961923076923</v>
      </c>
      <c r="Q57" s="431">
        <f>Q56+P57</f>
        <v>248.6384653846154</v>
      </c>
      <c r="R57" s="431">
        <f>R56+Q57</f>
        <v>293.0173115384615</v>
      </c>
      <c r="S57" s="431">
        <f>S56+R57</f>
        <v>337.52115769230767</v>
      </c>
      <c r="T57" s="433">
        <f>S57+T56</f>
        <v>526.5365423076923</v>
      </c>
      <c r="U57" s="432">
        <f>T57+U56</f>
        <v>731.2185935897437</v>
      </c>
      <c r="V57" s="434">
        <f>U57+V56</f>
        <v>957.2339782051283</v>
      </c>
    </row>
    <row r="58" spans="1:22" s="421" customFormat="1" ht="15.75" thickBot="1">
      <c r="A58" s="425" t="s">
        <v>338</v>
      </c>
      <c r="B58" s="426">
        <f>7!C30</f>
        <v>659.2348423076922</v>
      </c>
      <c r="C58" s="427">
        <f>7!D30</f>
        <v>773.0512820512821</v>
      </c>
      <c r="D58" s="427">
        <f>7!E30</f>
        <v>771.2948717948718</v>
      </c>
      <c r="E58" s="427">
        <f>7!F30</f>
        <v>755.7688166666667</v>
      </c>
      <c r="F58" s="427">
        <f>7!G30</f>
        <v>739.3346115384616</v>
      </c>
      <c r="G58" s="427">
        <f>7!H30</f>
        <v>726.1314064102564</v>
      </c>
      <c r="H58" s="427">
        <f>7!I30</f>
        <v>720.4923038461538</v>
      </c>
      <c r="I58" s="427">
        <f>7!J30</f>
        <v>712.0775602564103</v>
      </c>
      <c r="J58" s="427">
        <f>7!K30</f>
        <v>698.6628166666667</v>
      </c>
      <c r="K58" s="427">
        <f>7!L30</f>
        <v>685.248073076923</v>
      </c>
      <c r="L58" s="427">
        <f>7!M30</f>
        <v>671.8333294871794</v>
      </c>
      <c r="M58" s="427">
        <f>7!N30</f>
        <v>658.4185858974358</v>
      </c>
      <c r="N58" s="427">
        <f>7!O30</f>
        <v>645.0038423076923</v>
      </c>
      <c r="O58" s="426">
        <f>7!P30</f>
        <v>565.0557653846154</v>
      </c>
      <c r="P58" s="427">
        <f>7!Q30</f>
        <v>683.3173038461539</v>
      </c>
      <c r="Q58" s="427">
        <f>7!R30</f>
        <v>638.9384576923077</v>
      </c>
      <c r="R58" s="427">
        <f>7!S30</f>
        <v>594.5596115384616</v>
      </c>
      <c r="S58" s="427">
        <f>7!T30</f>
        <v>565.0557653846154</v>
      </c>
      <c r="T58" s="428">
        <f>7!U30</f>
        <v>456.04038076923075</v>
      </c>
      <c r="U58" s="426">
        <f>7!V30</f>
        <v>371.3583294871794</v>
      </c>
      <c r="V58" s="429">
        <f>7!W30</f>
        <v>310.34294487179477</v>
      </c>
    </row>
    <row r="59" ht="15" thickBot="1"/>
    <row r="60" spans="1:22" ht="15" thickBot="1">
      <c r="A60" s="407" t="s">
        <v>341</v>
      </c>
      <c r="B60" s="440">
        <v>0.2</v>
      </c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40">
        <v>0.2</v>
      </c>
      <c r="P60" s="436"/>
      <c r="Q60" s="436"/>
      <c r="R60" s="436"/>
      <c r="S60" s="436"/>
      <c r="T60" s="437">
        <v>0.2</v>
      </c>
      <c r="U60" s="440">
        <v>0.2</v>
      </c>
      <c r="V60" s="438">
        <v>0.2</v>
      </c>
    </row>
    <row r="61" spans="1:22" ht="15" thickBot="1">
      <c r="A61" s="379" t="s">
        <v>339</v>
      </c>
      <c r="B61" s="423">
        <f>B53-B53*B60</f>
        <v>105.86448790858917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3">
        <f>(O52+B61)*(1-O60)</f>
        <v>3349.936463777307</v>
      </c>
      <c r="P61" s="422"/>
      <c r="Q61" s="422"/>
      <c r="R61" s="422"/>
      <c r="S61" s="422"/>
      <c r="T61" s="424">
        <f>(O61+T52)*(1-T60)</f>
        <v>8167.638009051828</v>
      </c>
      <c r="U61" s="441">
        <f>(T61+U52)*(1-U60)</f>
        <v>15929.41695930148</v>
      </c>
      <c r="V61" s="439">
        <f>(U61+V52)*(1-V60)</f>
        <v>28655.29875169045</v>
      </c>
    </row>
  </sheetData>
  <mergeCells count="175">
    <mergeCell ref="H19:H20"/>
    <mergeCell ref="I19:I20"/>
    <mergeCell ref="J19:J20"/>
    <mergeCell ref="K19:K20"/>
    <mergeCell ref="D19:D20"/>
    <mergeCell ref="E19:E20"/>
    <mergeCell ref="F19:F20"/>
    <mergeCell ref="G19:G20"/>
    <mergeCell ref="U46:U47"/>
    <mergeCell ref="V8:V9"/>
    <mergeCell ref="V12:V13"/>
    <mergeCell ref="V16:V17"/>
    <mergeCell ref="V19:V20"/>
    <mergeCell ref="V29:V30"/>
    <mergeCell ref="V31:V32"/>
    <mergeCell ref="V37:V38"/>
    <mergeCell ref="V40:V41"/>
    <mergeCell ref="V46:V47"/>
    <mergeCell ref="U29:U30"/>
    <mergeCell ref="U31:U32"/>
    <mergeCell ref="U37:U38"/>
    <mergeCell ref="U40:U41"/>
    <mergeCell ref="U8:U9"/>
    <mergeCell ref="U12:U13"/>
    <mergeCell ref="U16:U17"/>
    <mergeCell ref="U19:U20"/>
    <mergeCell ref="I16:I17"/>
    <mergeCell ref="D12:D13"/>
    <mergeCell ref="E12:E13"/>
    <mergeCell ref="I37:I38"/>
    <mergeCell ref="E37:E38"/>
    <mergeCell ref="F37:F38"/>
    <mergeCell ref="G37:G38"/>
    <mergeCell ref="H37:H38"/>
    <mergeCell ref="A28:S28"/>
    <mergeCell ref="B29:B30"/>
    <mergeCell ref="H8:H9"/>
    <mergeCell ref="I8:I9"/>
    <mergeCell ref="H12:H13"/>
    <mergeCell ref="I12:I13"/>
    <mergeCell ref="E8:E9"/>
    <mergeCell ref="F8:F9"/>
    <mergeCell ref="G8:G9"/>
    <mergeCell ref="F12:F13"/>
    <mergeCell ref="G12:G13"/>
    <mergeCell ref="P4:S4"/>
    <mergeCell ref="A3:A5"/>
    <mergeCell ref="B3:N3"/>
    <mergeCell ref="C4:N4"/>
    <mergeCell ref="O4:O5"/>
    <mergeCell ref="B4:B5"/>
    <mergeCell ref="O3:S3"/>
    <mergeCell ref="A7:S7"/>
    <mergeCell ref="B8:B9"/>
    <mergeCell ref="C8:C9"/>
    <mergeCell ref="L8:L9"/>
    <mergeCell ref="M8:M9"/>
    <mergeCell ref="N8:N9"/>
    <mergeCell ref="O8:O9"/>
    <mergeCell ref="J8:J9"/>
    <mergeCell ref="K8:K9"/>
    <mergeCell ref="D8:D9"/>
    <mergeCell ref="T12:T13"/>
    <mergeCell ref="O12:O13"/>
    <mergeCell ref="P12:P13"/>
    <mergeCell ref="Q12:Q13"/>
    <mergeCell ref="S12:S13"/>
    <mergeCell ref="R12:R13"/>
    <mergeCell ref="B19:B20"/>
    <mergeCell ref="C19:C20"/>
    <mergeCell ref="L19:L20"/>
    <mergeCell ref="Q16:Q17"/>
    <mergeCell ref="Q19:Q20"/>
    <mergeCell ref="A18:S18"/>
    <mergeCell ref="M16:M17"/>
    <mergeCell ref="N16:N17"/>
    <mergeCell ref="O16:O17"/>
    <mergeCell ref="P16:P17"/>
    <mergeCell ref="C29:C30"/>
    <mergeCell ref="L29:L30"/>
    <mergeCell ref="M29:M30"/>
    <mergeCell ref="N29:N30"/>
    <mergeCell ref="K29:K30"/>
    <mergeCell ref="J29:J30"/>
    <mergeCell ref="I29:I30"/>
    <mergeCell ref="H29:H30"/>
    <mergeCell ref="G29:G30"/>
    <mergeCell ref="F29:F30"/>
    <mergeCell ref="O29:O30"/>
    <mergeCell ref="P29:P30"/>
    <mergeCell ref="Q29:Q30"/>
    <mergeCell ref="R29:R30"/>
    <mergeCell ref="B31:B32"/>
    <mergeCell ref="C31:C32"/>
    <mergeCell ref="L31:L32"/>
    <mergeCell ref="M31:M32"/>
    <mergeCell ref="N31:N32"/>
    <mergeCell ref="O31:O32"/>
    <mergeCell ref="P31:P32"/>
    <mergeCell ref="O37:O38"/>
    <mergeCell ref="P37:P38"/>
    <mergeCell ref="Q40:Q41"/>
    <mergeCell ref="S37:S38"/>
    <mergeCell ref="R37:R38"/>
    <mergeCell ref="Q31:Q32"/>
    <mergeCell ref="S31:S32"/>
    <mergeCell ref="Q37:Q38"/>
    <mergeCell ref="R31:R32"/>
    <mergeCell ref="R40:R41"/>
    <mergeCell ref="O40:O41"/>
    <mergeCell ref="P40:P41"/>
    <mergeCell ref="B37:B38"/>
    <mergeCell ref="C37:C38"/>
    <mergeCell ref="L37:L38"/>
    <mergeCell ref="M37:M38"/>
    <mergeCell ref="N37:N38"/>
    <mergeCell ref="M40:M41"/>
    <mergeCell ref="N40:N41"/>
    <mergeCell ref="D37:D38"/>
    <mergeCell ref="B46:B47"/>
    <mergeCell ref="C46:C47"/>
    <mergeCell ref="L46:L47"/>
    <mergeCell ref="B40:B41"/>
    <mergeCell ref="C40:C41"/>
    <mergeCell ref="L40:L41"/>
    <mergeCell ref="M46:M47"/>
    <mergeCell ref="N46:N47"/>
    <mergeCell ref="O46:O47"/>
    <mergeCell ref="P46:P47"/>
    <mergeCell ref="R46:R47"/>
    <mergeCell ref="Q46:Q47"/>
    <mergeCell ref="S46:S47"/>
    <mergeCell ref="T46:T47"/>
    <mergeCell ref="S29:S30"/>
    <mergeCell ref="T29:T30"/>
    <mergeCell ref="T37:T38"/>
    <mergeCell ref="S40:S41"/>
    <mergeCell ref="T40:T41"/>
    <mergeCell ref="T31:T32"/>
    <mergeCell ref="T16:T17"/>
    <mergeCell ref="T8:T9"/>
    <mergeCell ref="B12:B13"/>
    <mergeCell ref="R19:R20"/>
    <mergeCell ref="S19:S20"/>
    <mergeCell ref="T19:T20"/>
    <mergeCell ref="M19:M20"/>
    <mergeCell ref="N19:N20"/>
    <mergeCell ref="O19:O20"/>
    <mergeCell ref="P19:P20"/>
    <mergeCell ref="B16:B17"/>
    <mergeCell ref="C16:C17"/>
    <mergeCell ref="L16:L17"/>
    <mergeCell ref="L12:L13"/>
    <mergeCell ref="C12:C13"/>
    <mergeCell ref="D16:D17"/>
    <mergeCell ref="E16:E17"/>
    <mergeCell ref="F16:F17"/>
    <mergeCell ref="G16:G17"/>
    <mergeCell ref="H16:H17"/>
    <mergeCell ref="R8:R9"/>
    <mergeCell ref="S16:S17"/>
    <mergeCell ref="N12:N13"/>
    <mergeCell ref="M12:M13"/>
    <mergeCell ref="P8:P9"/>
    <mergeCell ref="Q8:Q9"/>
    <mergeCell ref="S8:S9"/>
    <mergeCell ref="K16:K17"/>
    <mergeCell ref="K12:K13"/>
    <mergeCell ref="J12:J13"/>
    <mergeCell ref="R16:R17"/>
    <mergeCell ref="J16:J17"/>
    <mergeCell ref="E29:E30"/>
    <mergeCell ref="D29:D30"/>
    <mergeCell ref="J37:J38"/>
    <mergeCell ref="K37:K38"/>
  </mergeCells>
  <printOptions/>
  <pageMargins left="0.17" right="0.16" top="0.9" bottom="0.21" header="0.26" footer="0.21"/>
  <pageSetup fitToHeight="2"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="60" zoomScaleNormal="75" workbookViewId="0" topLeftCell="A1">
      <selection activeCell="D32" sqref="D32"/>
    </sheetView>
  </sheetViews>
  <sheetFormatPr defaultColWidth="9.00390625" defaultRowHeight="12.75"/>
  <cols>
    <col min="1" max="1" width="95.00390625" style="65" customWidth="1"/>
    <col min="2" max="6" width="12.75390625" style="65" customWidth="1"/>
    <col min="7" max="16384" width="9.125" style="65" customWidth="1"/>
  </cols>
  <sheetData>
    <row r="1" spans="2:3" ht="12.75">
      <c r="B1" s="1322" t="s">
        <v>240</v>
      </c>
      <c r="C1" s="1323"/>
    </row>
    <row r="2" ht="20.25">
      <c r="A2" s="212" t="s">
        <v>241</v>
      </c>
    </row>
    <row r="3" spans="2:3" ht="13.5" thickBot="1">
      <c r="B3" s="1324" t="s">
        <v>479</v>
      </c>
      <c r="C3" s="1325"/>
    </row>
    <row r="4" spans="1:6" ht="16.5" thickBot="1">
      <c r="A4" s="66" t="s">
        <v>242</v>
      </c>
      <c r="B4" s="67" t="s">
        <v>1</v>
      </c>
      <c r="C4" s="67" t="s">
        <v>44</v>
      </c>
      <c r="D4" s="67" t="s">
        <v>46</v>
      </c>
      <c r="E4" s="67" t="s">
        <v>317</v>
      </c>
      <c r="F4" s="67" t="s">
        <v>318</v>
      </c>
    </row>
    <row r="5" spans="1:6" ht="15.75">
      <c r="A5" s="68" t="s">
        <v>243</v>
      </c>
      <c r="B5" s="130">
        <f>B6+B7</f>
        <v>87.98127965319424</v>
      </c>
      <c r="C5" s="130">
        <f>C6+C7</f>
        <v>395.80562268187725</v>
      </c>
      <c r="D5" s="130">
        <f>D6+D7</f>
        <v>585.5034144661014</v>
      </c>
      <c r="E5" s="130">
        <f>E6+E7</f>
        <v>875.2350760668184</v>
      </c>
      <c r="F5" s="130">
        <f>F6+F7</f>
        <v>1311.8641688590278</v>
      </c>
    </row>
    <row r="6" spans="1:6" ht="20.25" customHeight="1">
      <c r="A6" s="68" t="s">
        <v>244</v>
      </c>
      <c r="B6" s="130">
        <f>3!C19</f>
        <v>0</v>
      </c>
      <c r="C6" s="130"/>
      <c r="D6" s="130"/>
      <c r="E6" s="130"/>
      <c r="F6" s="130"/>
    </row>
    <row r="7" spans="1:6" ht="30.75" customHeight="1" thickBot="1">
      <c r="A7" s="69" t="s">
        <v>245</v>
      </c>
      <c r="B7" s="131">
        <f>'6-затраты'!B45</f>
        <v>87.98127965319424</v>
      </c>
      <c r="C7" s="131">
        <f>'6-затраты'!O45</f>
        <v>395.80562268187725</v>
      </c>
      <c r="D7" s="131">
        <f>'6-затраты'!T45</f>
        <v>585.5034144661014</v>
      </c>
      <c r="E7" s="131">
        <f>'6-затраты'!U45</f>
        <v>875.2350760668184</v>
      </c>
      <c r="F7" s="131">
        <f>'6-затраты'!V45</f>
        <v>1311.8641688590278</v>
      </c>
    </row>
    <row r="8" spans="1:6" ht="31.5">
      <c r="A8" s="70" t="s">
        <v>246</v>
      </c>
      <c r="B8" s="1326">
        <f>SUM(B10:B16)</f>
        <v>345.1549840638019</v>
      </c>
      <c r="C8" s="1326">
        <f>SUM(C10:C16)</f>
        <v>2188.2104671869574</v>
      </c>
      <c r="D8" s="1326">
        <f>SUM(D10:D16)</f>
        <v>3756.3195601932944</v>
      </c>
      <c r="E8" s="1326">
        <f>SUM(E10:E16)</f>
        <v>6353.66441382883</v>
      </c>
      <c r="F8" s="1326">
        <f>SUM(F10:F16)</f>
        <v>10696.933298236509</v>
      </c>
    </row>
    <row r="9" spans="1:6" ht="17.25" customHeight="1">
      <c r="A9" s="68" t="s">
        <v>149</v>
      </c>
      <c r="B9" s="1327"/>
      <c r="C9" s="1327"/>
      <c r="D9" s="1327"/>
      <c r="E9" s="1327"/>
      <c r="F9" s="1327"/>
    </row>
    <row r="10" spans="1:6" ht="19.5" customHeight="1">
      <c r="A10" s="68" t="s">
        <v>247</v>
      </c>
      <c r="B10" s="130">
        <f>9!B15</f>
        <v>254.52498406380192</v>
      </c>
      <c r="C10" s="130">
        <f>9!O15</f>
        <v>2105.779697956188</v>
      </c>
      <c r="D10" s="130">
        <f>9!T15</f>
        <v>3604.611867885602</v>
      </c>
      <c r="E10" s="130">
        <f>9!U15</f>
        <v>6193.187490751907</v>
      </c>
      <c r="F10" s="130">
        <f>9!V15</f>
        <v>10527.687144390355</v>
      </c>
    </row>
    <row r="11" spans="1:6" ht="20.25" customHeight="1">
      <c r="A11" s="68" t="s">
        <v>248</v>
      </c>
      <c r="B11" s="130"/>
      <c r="C11" s="130"/>
      <c r="D11" s="130"/>
      <c r="E11" s="130"/>
      <c r="F11" s="130"/>
    </row>
    <row r="12" spans="1:6" ht="22.5" customHeight="1">
      <c r="A12" s="68" t="s">
        <v>249</v>
      </c>
      <c r="B12" s="130">
        <f>'6-затраты'!B43*0.12</f>
        <v>28.619999999999994</v>
      </c>
      <c r="C12" s="130">
        <f>'6-затраты'!O43*0.12</f>
        <v>26.03076923076923</v>
      </c>
      <c r="D12" s="130">
        <f>'6-затраты'!T43*0.12</f>
        <v>47.907692307692315</v>
      </c>
      <c r="E12" s="130">
        <f>'6-затраты'!U43*0.12</f>
        <v>50.67692307692307</v>
      </c>
      <c r="F12" s="130">
        <f>'6-затраты'!V43*0.12</f>
        <v>53.44615384615384</v>
      </c>
    </row>
    <row r="13" spans="1:6" ht="30.75" customHeight="1">
      <c r="A13" s="213" t="s">
        <v>250</v>
      </c>
      <c r="B13" s="130">
        <f>'6-затраты'!B44</f>
        <v>62.01</v>
      </c>
      <c r="C13" s="130">
        <f>'6-затраты'!O44</f>
        <v>56.400000000000006</v>
      </c>
      <c r="D13" s="130">
        <f>'6-затраты'!T44</f>
        <v>103.80000000000001</v>
      </c>
      <c r="E13" s="130">
        <f>'6-затраты'!U44</f>
        <v>109.79999999999998</v>
      </c>
      <c r="F13" s="130">
        <f>'6-затраты'!V44</f>
        <v>115.8</v>
      </c>
    </row>
    <row r="14" spans="1:6" ht="19.5" customHeight="1">
      <c r="A14" s="68" t="s">
        <v>251</v>
      </c>
      <c r="B14" s="130"/>
      <c r="C14" s="130"/>
      <c r="D14" s="130"/>
      <c r="E14" s="130"/>
      <c r="F14" s="130"/>
    </row>
    <row r="15" spans="1:6" ht="18" customHeight="1">
      <c r="A15" s="68" t="s">
        <v>252</v>
      </c>
      <c r="B15" s="130"/>
      <c r="C15" s="130"/>
      <c r="D15" s="130"/>
      <c r="E15" s="130"/>
      <c r="F15" s="130"/>
    </row>
    <row r="16" spans="1:6" ht="21" customHeight="1" thickBot="1">
      <c r="A16" s="69" t="s">
        <v>253</v>
      </c>
      <c r="B16" s="131"/>
      <c r="C16" s="131"/>
      <c r="D16" s="131"/>
      <c r="E16" s="131"/>
      <c r="F16" s="131"/>
    </row>
    <row r="17" spans="1:6" ht="21" customHeight="1" thickBot="1">
      <c r="A17" s="71" t="s">
        <v>254</v>
      </c>
      <c r="B17" s="131">
        <f>B8-B5</f>
        <v>257.1737044106077</v>
      </c>
      <c r="C17" s="131">
        <f>C8-C5</f>
        <v>1792.4048445050803</v>
      </c>
      <c r="D17" s="131">
        <f>D8-D5</f>
        <v>3170.816145727193</v>
      </c>
      <c r="E17" s="131">
        <f>E8-E5</f>
        <v>5478.4293377620115</v>
      </c>
      <c r="F17" s="131">
        <f>F8-F5</f>
        <v>9385.06912937748</v>
      </c>
    </row>
    <row r="18" spans="1:6" ht="16.5" thickBot="1">
      <c r="A18" s="69" t="s">
        <v>255</v>
      </c>
      <c r="B18" s="131">
        <f>B17</f>
        <v>257.1737044106077</v>
      </c>
      <c r="C18" s="131">
        <f>B18+C17</f>
        <v>2049.578548915688</v>
      </c>
      <c r="D18" s="131">
        <f>C18+D17</f>
        <v>5220.3946946428805</v>
      </c>
      <c r="E18" s="131">
        <f>D18+E17</f>
        <v>10698.824032404893</v>
      </c>
      <c r="F18" s="131">
        <f>E18+F17</f>
        <v>20083.893161782373</v>
      </c>
    </row>
    <row r="19" spans="1:6" ht="21.75" customHeight="1" thickBot="1">
      <c r="A19" s="69" t="s">
        <v>283</v>
      </c>
      <c r="B19" s="188">
        <v>1.056</v>
      </c>
      <c r="C19" s="121">
        <f>B19*B19</f>
        <v>1.1151360000000001</v>
      </c>
      <c r="D19" s="121">
        <f>C19*B19</f>
        <v>1.1775836160000002</v>
      </c>
      <c r="E19" s="121">
        <f>D19*C19</f>
        <v>1.3131658832117763</v>
      </c>
      <c r="F19" s="121">
        <f>E19*D19</f>
        <v>1.5463626291603574</v>
      </c>
    </row>
    <row r="20" spans="1:6" ht="20.25" customHeight="1" thickBot="1">
      <c r="A20" s="69" t="s">
        <v>256</v>
      </c>
      <c r="B20" s="131">
        <f>B17/B19</f>
        <v>243.53570493428757</v>
      </c>
      <c r="C20" s="131">
        <f>C17/C19</f>
        <v>1607.3419246666597</v>
      </c>
      <c r="D20" s="131">
        <f>D17/D19</f>
        <v>2692.6462823062857</v>
      </c>
      <c r="E20" s="131">
        <f>E17/E19</f>
        <v>4171.924817573483</v>
      </c>
      <c r="F20" s="131">
        <f>F17/F19</f>
        <v>6069.125671042229</v>
      </c>
    </row>
    <row r="21" spans="1:6" ht="16.5" thickBot="1">
      <c r="A21" s="69" t="s">
        <v>257</v>
      </c>
      <c r="B21" s="131">
        <f>B20</f>
        <v>243.53570493428757</v>
      </c>
      <c r="C21" s="131">
        <f>C20+B21</f>
        <v>1850.8776296009473</v>
      </c>
      <c r="D21" s="131">
        <f>D20+C21</f>
        <v>4543.523911907233</v>
      </c>
      <c r="E21" s="131">
        <f>E20+D21</f>
        <v>8715.448729480715</v>
      </c>
      <c r="F21" s="131">
        <f>F20+E21</f>
        <v>14784.574400522944</v>
      </c>
    </row>
    <row r="22" spans="1:6" ht="21" customHeight="1" thickBot="1">
      <c r="A22" s="69" t="s">
        <v>258</v>
      </c>
      <c r="B22" s="131">
        <f>B18/(1.07+14/100)</f>
        <v>212.5402515790146</v>
      </c>
      <c r="C22" s="131">
        <f>C18/(1.07+14/100)</f>
        <v>1693.8665693518083</v>
      </c>
      <c r="D22" s="131">
        <f>D18/(1.07+14/100)</f>
        <v>4314.375780696596</v>
      </c>
      <c r="E22" s="131">
        <f>E18/(1.07+14/100)</f>
        <v>8842.003332566028</v>
      </c>
      <c r="F22" s="131">
        <f>F18/(1.07+14/100)</f>
        <v>16598.25881139039</v>
      </c>
    </row>
    <row r="23" ht="15.75">
      <c r="A23" s="51" t="s">
        <v>259</v>
      </c>
    </row>
  </sheetData>
  <mergeCells count="7">
    <mergeCell ref="B1:C1"/>
    <mergeCell ref="B3:C3"/>
    <mergeCell ref="E8:E9"/>
    <mergeCell ref="F8:F9"/>
    <mergeCell ref="B8:B9"/>
    <mergeCell ref="C8:C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B1">
      <selection activeCell="B15" sqref="B15"/>
    </sheetView>
  </sheetViews>
  <sheetFormatPr defaultColWidth="9.00390625" defaultRowHeight="12.75"/>
  <cols>
    <col min="1" max="1" width="40.375" style="0" customWidth="1"/>
    <col min="2" max="2" width="41.25390625" style="0" customWidth="1"/>
    <col min="3" max="3" width="26.25390625" style="0" customWidth="1"/>
    <col min="4" max="4" width="13.125" style="0" customWidth="1"/>
  </cols>
  <sheetData>
    <row r="1" spans="1:5" ht="12.75">
      <c r="A1" t="s">
        <v>12</v>
      </c>
      <c r="B1" t="s">
        <v>13</v>
      </c>
      <c r="C1" t="s">
        <v>16</v>
      </c>
      <c r="E1" s="4">
        <v>0.18</v>
      </c>
    </row>
    <row r="2" ht="12.75">
      <c r="E2" s="1"/>
    </row>
    <row r="3" spans="1:6" ht="12.75">
      <c r="A3" t="s">
        <v>14</v>
      </c>
      <c r="B3" t="s">
        <v>15</v>
      </c>
      <c r="E3" s="1">
        <v>0.14</v>
      </c>
      <c r="F3" s="1">
        <v>0.14</v>
      </c>
    </row>
    <row r="4" spans="1:6" ht="12.75">
      <c r="A4" t="s">
        <v>17</v>
      </c>
      <c r="B4" t="s">
        <v>18</v>
      </c>
      <c r="E4" s="1">
        <v>0.12</v>
      </c>
      <c r="F4" s="1">
        <v>0.12</v>
      </c>
    </row>
    <row r="5" spans="2:6" ht="12.75">
      <c r="B5" t="s">
        <v>34</v>
      </c>
      <c r="D5" s="2">
        <v>0.029</v>
      </c>
      <c r="F5" s="2"/>
    </row>
    <row r="6" spans="2:6" ht="12.75">
      <c r="B6" t="s">
        <v>35</v>
      </c>
      <c r="D6" s="2">
        <v>0.011</v>
      </c>
      <c r="F6" s="2"/>
    </row>
    <row r="7" spans="2:6" ht="12.75">
      <c r="B7" t="s">
        <v>36</v>
      </c>
      <c r="D7" s="2">
        <v>0.02</v>
      </c>
      <c r="F7" s="2"/>
    </row>
    <row r="8" spans="2:6" ht="12.75">
      <c r="B8" t="s">
        <v>37</v>
      </c>
      <c r="D8" s="2">
        <v>0.06</v>
      </c>
      <c r="F8" s="2"/>
    </row>
    <row r="9" spans="1:6" ht="12.75">
      <c r="A9" t="s">
        <v>19</v>
      </c>
      <c r="B9" t="s">
        <v>20</v>
      </c>
      <c r="C9" t="s">
        <v>40</v>
      </c>
      <c r="D9" s="2">
        <v>0.002</v>
      </c>
      <c r="F9" s="2"/>
    </row>
    <row r="10" spans="3:4" ht="12.75">
      <c r="C10" t="s">
        <v>39</v>
      </c>
      <c r="D10" s="2">
        <v>0.003</v>
      </c>
    </row>
    <row r="11" spans="1:6" ht="12.75">
      <c r="A11" t="s">
        <v>38</v>
      </c>
      <c r="E11" s="3">
        <f>SUM(E3:E10)</f>
        <v>0.26</v>
      </c>
      <c r="F11" s="3">
        <f>SUM(F3:F10)</f>
        <v>0.26</v>
      </c>
    </row>
    <row r="12" ht="12.75">
      <c r="E12" s="2"/>
    </row>
    <row r="13" spans="1:5" ht="12.75">
      <c r="A13" t="s">
        <v>0</v>
      </c>
      <c r="B13" t="s">
        <v>23</v>
      </c>
      <c r="E13" s="2">
        <v>0.24</v>
      </c>
    </row>
    <row r="14" ht="12.75">
      <c r="E14" s="2"/>
    </row>
    <row r="15" spans="1:5" ht="12.75">
      <c r="A15" t="s">
        <v>21</v>
      </c>
      <c r="B15" t="s">
        <v>22</v>
      </c>
      <c r="C15" t="s">
        <v>26</v>
      </c>
      <c r="E15" s="3">
        <v>0.022</v>
      </c>
    </row>
    <row r="16" spans="1:5" ht="12.75">
      <c r="A16" t="s">
        <v>24</v>
      </c>
      <c r="E16" s="2"/>
    </row>
    <row r="17" spans="1:5" ht="12.75">
      <c r="A17" t="s">
        <v>25</v>
      </c>
      <c r="E17" s="3">
        <v>0.01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="75" zoomScaleNormal="75" zoomScaleSheetLayoutView="75" workbookViewId="0" topLeftCell="A1">
      <selection activeCell="B74" sqref="B74"/>
    </sheetView>
  </sheetViews>
  <sheetFormatPr defaultColWidth="9.00390625" defaultRowHeight="24" customHeight="1"/>
  <cols>
    <col min="1" max="1" width="6.125" style="12" customWidth="1"/>
    <col min="2" max="2" width="61.75390625" style="524" customWidth="1"/>
    <col min="3" max="3" width="11.375" style="12" customWidth="1"/>
    <col min="4" max="4" width="17.25390625" style="622" customWidth="1"/>
    <col min="5" max="5" width="12.125" style="523" customWidth="1"/>
    <col min="6" max="6" width="18.625" style="523" customWidth="1"/>
    <col min="7" max="7" width="4.375" style="525" customWidth="1"/>
    <col min="8" max="8" width="4.625" style="6" customWidth="1"/>
    <col min="9" max="9" width="12.75390625" style="6" customWidth="1"/>
    <col min="10" max="15" width="12.75390625" style="526" customWidth="1"/>
    <col min="16" max="16" width="13.75390625" style="523" customWidth="1"/>
    <col min="17" max="17" width="11.375" style="523" bestFit="1" customWidth="1"/>
    <col min="18" max="16384" width="9.125" style="523" customWidth="1"/>
  </cols>
  <sheetData>
    <row r="1" spans="1:15" s="521" customFormat="1" ht="15" customHeight="1">
      <c r="A1" s="950" t="s">
        <v>353</v>
      </c>
      <c r="C1" s="26"/>
      <c r="D1" s="621"/>
      <c r="G1" s="520" t="s">
        <v>353</v>
      </c>
      <c r="H1" s="602"/>
      <c r="I1" s="602"/>
      <c r="J1" s="522"/>
      <c r="K1" s="522"/>
      <c r="L1" s="522"/>
      <c r="M1" s="522"/>
      <c r="N1" s="522"/>
      <c r="O1" s="522"/>
    </row>
    <row r="2" ht="6.75" customHeight="1"/>
    <row r="3" spans="1:17" s="527" customFormat="1" ht="12.75" customHeight="1" thickBot="1">
      <c r="A3" s="609"/>
      <c r="B3" s="528" t="s">
        <v>369</v>
      </c>
      <c r="C3" s="609"/>
      <c r="D3" s="623"/>
      <c r="F3" s="527" t="s">
        <v>82</v>
      </c>
      <c r="G3" s="529"/>
      <c r="H3" s="603"/>
      <c r="I3" s="603"/>
      <c r="J3" s="1335" t="s">
        <v>84</v>
      </c>
      <c r="K3" s="1335"/>
      <c r="L3" s="1335"/>
      <c r="M3" s="1335"/>
      <c r="N3" s="906"/>
      <c r="O3" s="906"/>
      <c r="P3" s="633" t="s">
        <v>367</v>
      </c>
      <c r="Q3" s="527" t="s">
        <v>83</v>
      </c>
    </row>
    <row r="4" spans="1:16" s="527" customFormat="1" ht="12.75" customHeight="1" thickBot="1">
      <c r="A4" s="951" t="s">
        <v>4</v>
      </c>
      <c r="B4" s="531" t="s">
        <v>5</v>
      </c>
      <c r="C4" s="610" t="s">
        <v>47</v>
      </c>
      <c r="D4" s="555" t="s">
        <v>363</v>
      </c>
      <c r="E4" s="532" t="s">
        <v>27</v>
      </c>
      <c r="F4" s="533" t="s">
        <v>48</v>
      </c>
      <c r="G4" s="529"/>
      <c r="H4" s="21" t="s">
        <v>4</v>
      </c>
      <c r="I4" s="945">
        <v>1</v>
      </c>
      <c r="J4" s="945">
        <v>2</v>
      </c>
      <c r="K4" s="945">
        <v>3</v>
      </c>
      <c r="L4" s="945">
        <v>4</v>
      </c>
      <c r="M4" s="945">
        <v>5</v>
      </c>
      <c r="N4" s="945">
        <v>6</v>
      </c>
      <c r="O4" s="945">
        <v>7</v>
      </c>
      <c r="P4" s="527" t="s">
        <v>2</v>
      </c>
    </row>
    <row r="5" spans="1:16" ht="12.75" customHeight="1">
      <c r="A5" s="7">
        <v>1</v>
      </c>
      <c r="B5" s="524" t="s">
        <v>423</v>
      </c>
      <c r="C5" s="7"/>
      <c r="D5" s="624">
        <v>2</v>
      </c>
      <c r="E5" s="7">
        <v>6</v>
      </c>
      <c r="F5" s="536">
        <f>D5*E5</f>
        <v>12</v>
      </c>
      <c r="G5" s="537"/>
      <c r="H5" s="20">
        <v>1</v>
      </c>
      <c r="I5" s="20"/>
      <c r="J5" s="539">
        <f>D5</f>
        <v>2</v>
      </c>
      <c r="K5" s="539">
        <f>J5</f>
        <v>2</v>
      </c>
      <c r="L5" s="539">
        <f>K5</f>
        <v>2</v>
      </c>
      <c r="M5" s="539">
        <f>L5</f>
        <v>2</v>
      </c>
      <c r="N5" s="539">
        <f>M5</f>
        <v>2</v>
      </c>
      <c r="O5" s="539">
        <f>N5</f>
        <v>2</v>
      </c>
      <c r="P5" s="525">
        <f>SUM(J5:O5)</f>
        <v>12</v>
      </c>
    </row>
    <row r="6" spans="1:16" ht="12.75" customHeight="1">
      <c r="A6" s="7">
        <v>2</v>
      </c>
      <c r="B6" s="535" t="s">
        <v>458</v>
      </c>
      <c r="C6" s="7"/>
      <c r="D6" s="624">
        <v>1.5</v>
      </c>
      <c r="E6" s="7">
        <v>6</v>
      </c>
      <c r="F6" s="536">
        <f>D6*E6</f>
        <v>9</v>
      </c>
      <c r="G6" s="537"/>
      <c r="H6" s="20"/>
      <c r="I6" s="20"/>
      <c r="J6" s="539">
        <f aca="true" t="shared" si="0" ref="J6:J12">D6</f>
        <v>1.5</v>
      </c>
      <c r="K6" s="539">
        <f aca="true" t="shared" si="1" ref="K6:L12">J6</f>
        <v>1.5</v>
      </c>
      <c r="L6" s="539">
        <f t="shared" si="1"/>
        <v>1.5</v>
      </c>
      <c r="M6" s="539">
        <f aca="true" t="shared" si="2" ref="M6:O12">L6</f>
        <v>1.5</v>
      </c>
      <c r="N6" s="539">
        <f t="shared" si="2"/>
        <v>1.5</v>
      </c>
      <c r="O6" s="539">
        <f t="shared" si="2"/>
        <v>1.5</v>
      </c>
      <c r="P6" s="525">
        <f aca="true" t="shared" si="3" ref="P6:P15">SUM(J6:O6)</f>
        <v>9</v>
      </c>
    </row>
    <row r="7" spans="1:16" ht="12.75" customHeight="1">
      <c r="A7" s="7">
        <v>3</v>
      </c>
      <c r="B7" s="535" t="s">
        <v>459</v>
      </c>
      <c r="C7" s="7"/>
      <c r="D7" s="624">
        <v>2</v>
      </c>
      <c r="E7" s="7">
        <v>6</v>
      </c>
      <c r="F7" s="536">
        <f>D7*E7</f>
        <v>12</v>
      </c>
      <c r="G7" s="537"/>
      <c r="H7" s="20"/>
      <c r="I7" s="20"/>
      <c r="J7" s="539">
        <f t="shared" si="0"/>
        <v>2</v>
      </c>
      <c r="K7" s="539">
        <f t="shared" si="1"/>
        <v>2</v>
      </c>
      <c r="L7" s="539">
        <f t="shared" si="1"/>
        <v>2</v>
      </c>
      <c r="M7" s="539">
        <f t="shared" si="2"/>
        <v>2</v>
      </c>
      <c r="N7" s="539">
        <f t="shared" si="2"/>
        <v>2</v>
      </c>
      <c r="O7" s="539">
        <f t="shared" si="2"/>
        <v>2</v>
      </c>
      <c r="P7" s="525">
        <f t="shared" si="3"/>
        <v>12</v>
      </c>
    </row>
    <row r="8" spans="1:16" ht="12.75" customHeight="1">
      <c r="A8" s="7">
        <v>4</v>
      </c>
      <c r="B8" s="535" t="s">
        <v>461</v>
      </c>
      <c r="C8" s="7"/>
      <c r="D8" s="624">
        <v>1.5</v>
      </c>
      <c r="E8" s="7">
        <v>6</v>
      </c>
      <c r="F8" s="536">
        <f>D8*E8</f>
        <v>9</v>
      </c>
      <c r="G8" s="537"/>
      <c r="H8" s="20"/>
      <c r="I8" s="20"/>
      <c r="J8" s="539">
        <f t="shared" si="0"/>
        <v>1.5</v>
      </c>
      <c r="K8" s="539">
        <f t="shared" si="1"/>
        <v>1.5</v>
      </c>
      <c r="L8" s="539">
        <f t="shared" si="1"/>
        <v>1.5</v>
      </c>
      <c r="M8" s="539">
        <f t="shared" si="2"/>
        <v>1.5</v>
      </c>
      <c r="N8" s="539">
        <f t="shared" si="2"/>
        <v>1.5</v>
      </c>
      <c r="O8" s="539">
        <f t="shared" si="2"/>
        <v>1.5</v>
      </c>
      <c r="P8" s="525">
        <f t="shared" si="3"/>
        <v>9</v>
      </c>
    </row>
    <row r="9" spans="1:16" ht="12.75" customHeight="1">
      <c r="A9" s="7">
        <v>5</v>
      </c>
      <c r="B9" s="535" t="s">
        <v>460</v>
      </c>
      <c r="C9" s="7"/>
      <c r="D9" s="624">
        <v>1</v>
      </c>
      <c r="E9" s="7">
        <v>6</v>
      </c>
      <c r="F9" s="536">
        <f>D9*E9</f>
        <v>6</v>
      </c>
      <c r="G9" s="537"/>
      <c r="H9" s="20"/>
      <c r="I9" s="20"/>
      <c r="J9" s="539">
        <f t="shared" si="0"/>
        <v>1</v>
      </c>
      <c r="K9" s="539">
        <f t="shared" si="1"/>
        <v>1</v>
      </c>
      <c r="L9" s="539">
        <f t="shared" si="1"/>
        <v>1</v>
      </c>
      <c r="M9" s="539">
        <f t="shared" si="2"/>
        <v>1</v>
      </c>
      <c r="N9" s="539">
        <f t="shared" si="2"/>
        <v>1</v>
      </c>
      <c r="O9" s="539">
        <f t="shared" si="2"/>
        <v>1</v>
      </c>
      <c r="P9" s="525">
        <f t="shared" si="3"/>
        <v>6</v>
      </c>
    </row>
    <row r="10" spans="1:16" ht="12.75" customHeight="1">
      <c r="A10" s="7">
        <v>6</v>
      </c>
      <c r="B10" s="535" t="s">
        <v>29</v>
      </c>
      <c r="C10" s="7"/>
      <c r="D10" s="624">
        <f>SUM(D5:D9)*E10</f>
        <v>2.08</v>
      </c>
      <c r="E10" s="608">
        <f>НАЛОГИ!E11</f>
        <v>0.26</v>
      </c>
      <c r="F10" s="536">
        <f>SUM(F5:F9)*E10</f>
        <v>12.48</v>
      </c>
      <c r="G10" s="537"/>
      <c r="H10" s="19">
        <v>2</v>
      </c>
      <c r="I10" s="19"/>
      <c r="J10" s="539">
        <f t="shared" si="0"/>
        <v>2.08</v>
      </c>
      <c r="K10" s="539">
        <f t="shared" si="1"/>
        <v>2.08</v>
      </c>
      <c r="L10" s="539">
        <f t="shared" si="1"/>
        <v>2.08</v>
      </c>
      <c r="M10" s="539">
        <f t="shared" si="2"/>
        <v>2.08</v>
      </c>
      <c r="N10" s="539">
        <f t="shared" si="2"/>
        <v>2.08</v>
      </c>
      <c r="O10" s="539">
        <f t="shared" si="2"/>
        <v>2.08</v>
      </c>
      <c r="P10" s="525">
        <f t="shared" si="3"/>
        <v>12.48</v>
      </c>
    </row>
    <row r="11" spans="1:16" ht="12.75" customHeight="1">
      <c r="A11" s="7">
        <v>7</v>
      </c>
      <c r="B11" s="535" t="s">
        <v>30</v>
      </c>
      <c r="C11" s="7"/>
      <c r="D11" s="624">
        <v>1</v>
      </c>
      <c r="E11" s="7">
        <v>6</v>
      </c>
      <c r="F11" s="536">
        <f>SUM(I11:O11)</f>
        <v>6</v>
      </c>
      <c r="G11" s="537"/>
      <c r="H11" s="19">
        <v>3</v>
      </c>
      <c r="I11" s="19"/>
      <c r="J11" s="539">
        <f t="shared" si="0"/>
        <v>1</v>
      </c>
      <c r="K11" s="539">
        <f t="shared" si="1"/>
        <v>1</v>
      </c>
      <c r="L11" s="539">
        <f t="shared" si="1"/>
        <v>1</v>
      </c>
      <c r="M11" s="539">
        <f t="shared" si="2"/>
        <v>1</v>
      </c>
      <c r="N11" s="539">
        <f t="shared" si="2"/>
        <v>1</v>
      </c>
      <c r="O11" s="539">
        <f t="shared" si="2"/>
        <v>1</v>
      </c>
      <c r="P11" s="525">
        <f t="shared" si="3"/>
        <v>6</v>
      </c>
    </row>
    <row r="12" spans="1:16" ht="12.75" customHeight="1">
      <c r="A12" s="7">
        <v>8</v>
      </c>
      <c r="B12" s="535" t="s">
        <v>85</v>
      </c>
      <c r="C12" s="7"/>
      <c r="D12" s="624">
        <v>1</v>
      </c>
      <c r="E12" s="7">
        <v>6</v>
      </c>
      <c r="F12" s="536">
        <f>SUM(I12:O12)</f>
        <v>6</v>
      </c>
      <c r="G12" s="537"/>
      <c r="H12" s="19">
        <v>4</v>
      </c>
      <c r="I12" s="19"/>
      <c r="J12" s="539">
        <f t="shared" si="0"/>
        <v>1</v>
      </c>
      <c r="K12" s="539">
        <f t="shared" si="1"/>
        <v>1</v>
      </c>
      <c r="L12" s="539">
        <f t="shared" si="1"/>
        <v>1</v>
      </c>
      <c r="M12" s="539">
        <f t="shared" si="2"/>
        <v>1</v>
      </c>
      <c r="N12" s="539">
        <f t="shared" si="2"/>
        <v>1</v>
      </c>
      <c r="O12" s="539">
        <f t="shared" si="2"/>
        <v>1</v>
      </c>
      <c r="P12" s="525">
        <f t="shared" si="3"/>
        <v>6</v>
      </c>
    </row>
    <row r="13" spans="1:16" ht="12.75" customHeight="1">
      <c r="A13" s="9"/>
      <c r="B13" s="542" t="s">
        <v>31</v>
      </c>
      <c r="C13" s="9"/>
      <c r="D13" s="625"/>
      <c r="E13" s="15">
        <v>0.1</v>
      </c>
      <c r="F13" s="537">
        <f>SUM(F5:F12)*E13</f>
        <v>7.248000000000001</v>
      </c>
      <c r="G13" s="537"/>
      <c r="H13" s="29"/>
      <c r="I13" s="29"/>
      <c r="J13" s="544">
        <f aca="true" t="shared" si="4" ref="J13:O13">SUM(J5:J12)*10%</f>
        <v>1.2080000000000002</v>
      </c>
      <c r="K13" s="544">
        <f t="shared" si="4"/>
        <v>1.2080000000000002</v>
      </c>
      <c r="L13" s="544">
        <f t="shared" si="4"/>
        <v>1.2080000000000002</v>
      </c>
      <c r="M13" s="544">
        <f t="shared" si="4"/>
        <v>1.2080000000000002</v>
      </c>
      <c r="N13" s="544">
        <f t="shared" si="4"/>
        <v>1.2080000000000002</v>
      </c>
      <c r="O13" s="544">
        <f t="shared" si="4"/>
        <v>1.2080000000000002</v>
      </c>
      <c r="P13" s="525">
        <f t="shared" si="3"/>
        <v>7.248000000000001</v>
      </c>
    </row>
    <row r="14" spans="1:16" ht="12.75" customHeight="1">
      <c r="A14" s="9"/>
      <c r="B14" s="542" t="s">
        <v>12</v>
      </c>
      <c r="C14" s="9"/>
      <c r="D14" s="625"/>
      <c r="E14" s="15">
        <v>0.18</v>
      </c>
      <c r="F14" s="537">
        <f>(SUM(F5:F12)+F13)*E14</f>
        <v>14.351040000000001</v>
      </c>
      <c r="G14" s="537"/>
      <c r="H14" s="29"/>
      <c r="I14" s="29"/>
      <c r="J14" s="545">
        <f aca="true" t="shared" si="5" ref="J14:O14">SUM(J5:J13)*0.18</f>
        <v>2.3918399999999997</v>
      </c>
      <c r="K14" s="545">
        <f t="shared" si="5"/>
        <v>2.3918399999999997</v>
      </c>
      <c r="L14" s="545">
        <f t="shared" si="5"/>
        <v>2.3918399999999997</v>
      </c>
      <c r="M14" s="545">
        <f t="shared" si="5"/>
        <v>2.3918399999999997</v>
      </c>
      <c r="N14" s="545">
        <f t="shared" si="5"/>
        <v>2.3918399999999997</v>
      </c>
      <c r="O14" s="545">
        <f t="shared" si="5"/>
        <v>2.3918399999999997</v>
      </c>
      <c r="P14" s="525">
        <f t="shared" si="3"/>
        <v>14.35104</v>
      </c>
    </row>
    <row r="15" spans="1:16" s="550" customFormat="1" ht="12.75" customHeight="1">
      <c r="A15" s="952"/>
      <c r="B15" s="547" t="s">
        <v>9</v>
      </c>
      <c r="C15" s="611"/>
      <c r="D15" s="626"/>
      <c r="E15" s="546"/>
      <c r="F15" s="548">
        <f>SUM(J15:O15)</f>
        <v>94.07904</v>
      </c>
      <c r="G15" s="549"/>
      <c r="H15" s="28"/>
      <c r="I15" s="28"/>
      <c r="J15" s="617">
        <f aca="true" t="shared" si="6" ref="J15:O15">SUM(J5:J14)</f>
        <v>15.67984</v>
      </c>
      <c r="K15" s="617">
        <f t="shared" si="6"/>
        <v>15.67984</v>
      </c>
      <c r="L15" s="617">
        <f t="shared" si="6"/>
        <v>15.67984</v>
      </c>
      <c r="M15" s="617">
        <f t="shared" si="6"/>
        <v>15.67984</v>
      </c>
      <c r="N15" s="617">
        <f t="shared" si="6"/>
        <v>15.67984</v>
      </c>
      <c r="O15" s="617">
        <f t="shared" si="6"/>
        <v>15.67984</v>
      </c>
      <c r="P15" s="529">
        <f t="shared" si="3"/>
        <v>94.07904</v>
      </c>
    </row>
    <row r="16" spans="1:9" ht="12.75" customHeight="1">
      <c r="A16" s="9"/>
      <c r="B16" s="551"/>
      <c r="C16" s="9"/>
      <c r="D16" s="625"/>
      <c r="E16" s="552"/>
      <c r="F16" s="525"/>
      <c r="H16" s="29"/>
      <c r="I16" s="29"/>
    </row>
    <row r="17" spans="1:9" ht="15.75" customHeight="1" thickBot="1">
      <c r="A17" s="9"/>
      <c r="B17" s="634" t="s">
        <v>370</v>
      </c>
      <c r="C17" s="9"/>
      <c r="D17" s="625"/>
      <c r="E17" s="525"/>
      <c r="F17" s="525"/>
      <c r="H17" s="604"/>
      <c r="I17" s="604"/>
    </row>
    <row r="18" spans="1:15" s="527" customFormat="1" ht="12.75" customHeight="1" thickBot="1">
      <c r="A18" s="953" t="s">
        <v>4</v>
      </c>
      <c r="B18" s="554" t="s">
        <v>5</v>
      </c>
      <c r="C18" s="610" t="s">
        <v>47</v>
      </c>
      <c r="D18" s="555" t="s">
        <v>363</v>
      </c>
      <c r="E18" s="532" t="s">
        <v>27</v>
      </c>
      <c r="F18" s="556" t="s">
        <v>364</v>
      </c>
      <c r="G18" s="529"/>
      <c r="H18" s="21" t="s">
        <v>4</v>
      </c>
      <c r="I18" s="21"/>
      <c r="J18" s="25">
        <v>1</v>
      </c>
      <c r="K18" s="5">
        <v>2</v>
      </c>
      <c r="L18" s="5">
        <v>3</v>
      </c>
      <c r="M18" s="5">
        <v>4</v>
      </c>
      <c r="N18" s="941"/>
      <c r="O18" s="941"/>
    </row>
    <row r="19" spans="1:16" s="527" customFormat="1" ht="12.75" customHeight="1">
      <c r="A19" s="14">
        <v>1</v>
      </c>
      <c r="B19" s="557" t="s">
        <v>97</v>
      </c>
      <c r="C19" s="14">
        <v>15000</v>
      </c>
      <c r="D19" s="519">
        <f>C19/26/1000</f>
        <v>0.5769230769230769</v>
      </c>
      <c r="E19" s="1061">
        <v>1</v>
      </c>
      <c r="F19" s="518">
        <f>D19*E19</f>
        <v>0.5769230769230769</v>
      </c>
      <c r="G19" s="529"/>
      <c r="H19" s="20">
        <f>A19</f>
        <v>1</v>
      </c>
      <c r="I19" s="20"/>
      <c r="J19" s="558">
        <f>F19</f>
        <v>0.5769230769230769</v>
      </c>
      <c r="K19" s="559"/>
      <c r="L19" s="559"/>
      <c r="M19" s="559"/>
      <c r="N19" s="906"/>
      <c r="O19" s="906"/>
      <c r="P19" s="523">
        <f>SUM(J19:M19)</f>
        <v>0.5769230769230769</v>
      </c>
    </row>
    <row r="20" spans="1:16" ht="12.75" customHeight="1">
      <c r="A20" s="14">
        <v>2</v>
      </c>
      <c r="B20" s="560" t="s">
        <v>96</v>
      </c>
      <c r="C20" s="18">
        <v>15000</v>
      </c>
      <c r="D20" s="519">
        <f aca="true" t="shared" si="7" ref="D20:D40">C20/26/1000</f>
        <v>0.5769230769230769</v>
      </c>
      <c r="E20" s="18">
        <v>1</v>
      </c>
      <c r="F20" s="518">
        <f aca="true" t="shared" si="8" ref="F20:F40">D20*E20</f>
        <v>0.5769230769230769</v>
      </c>
      <c r="G20" s="561"/>
      <c r="H20" s="20">
        <f aca="true" t="shared" si="9" ref="H20:H40">A20</f>
        <v>2</v>
      </c>
      <c r="I20" s="19"/>
      <c r="J20" s="948">
        <f>F20</f>
        <v>0.5769230769230769</v>
      </c>
      <c r="K20" s="541"/>
      <c r="L20" s="541"/>
      <c r="M20" s="541"/>
      <c r="N20" s="543"/>
      <c r="O20" s="543"/>
      <c r="P20" s="523">
        <f aca="true" t="shared" si="10" ref="P20:P40">SUM(J20:M20)</f>
        <v>0.5769230769230769</v>
      </c>
    </row>
    <row r="21" spans="1:16" ht="12.75" customHeight="1">
      <c r="A21" s="14">
        <v>3</v>
      </c>
      <c r="B21" s="562" t="s">
        <v>61</v>
      </c>
      <c r="C21" s="10">
        <v>86800</v>
      </c>
      <c r="D21" s="519">
        <f t="shared" si="7"/>
        <v>3.3384615384615386</v>
      </c>
      <c r="E21" s="10">
        <v>1</v>
      </c>
      <c r="F21" s="518">
        <f t="shared" si="8"/>
        <v>3.3384615384615386</v>
      </c>
      <c r="G21" s="561"/>
      <c r="H21" s="20">
        <f t="shared" si="9"/>
        <v>3</v>
      </c>
      <c r="I21" s="19"/>
      <c r="K21" s="541">
        <f>F21</f>
        <v>3.3384615384615386</v>
      </c>
      <c r="L21" s="541"/>
      <c r="M21" s="541"/>
      <c r="N21" s="543"/>
      <c r="O21" s="543"/>
      <c r="P21" s="523">
        <f t="shared" si="10"/>
        <v>3.3384615384615386</v>
      </c>
    </row>
    <row r="22" spans="1:16" ht="12.75" customHeight="1">
      <c r="A22" s="14">
        <v>4</v>
      </c>
      <c r="B22" s="562" t="s">
        <v>55</v>
      </c>
      <c r="C22" s="10">
        <v>15000</v>
      </c>
      <c r="D22" s="519">
        <f t="shared" si="7"/>
        <v>0.5769230769230769</v>
      </c>
      <c r="E22" s="10">
        <v>1</v>
      </c>
      <c r="F22" s="518">
        <f t="shared" si="8"/>
        <v>0.5769230769230769</v>
      </c>
      <c r="G22" s="561"/>
      <c r="H22" s="20">
        <f t="shared" si="9"/>
        <v>4</v>
      </c>
      <c r="I22" s="19"/>
      <c r="J22" s="948"/>
      <c r="K22" s="541">
        <f>F22</f>
        <v>0.5769230769230769</v>
      </c>
      <c r="M22" s="541"/>
      <c r="N22" s="543"/>
      <c r="O22" s="543"/>
      <c r="P22" s="523">
        <f t="shared" si="10"/>
        <v>0.5769230769230769</v>
      </c>
    </row>
    <row r="23" spans="1:16" ht="12.75" customHeight="1">
      <c r="A23" s="14">
        <v>5</v>
      </c>
      <c r="B23" s="562" t="s">
        <v>63</v>
      </c>
      <c r="C23" s="10">
        <v>2330.5</v>
      </c>
      <c r="D23" s="519">
        <f t="shared" si="7"/>
        <v>0.08963461538461538</v>
      </c>
      <c r="E23" s="10">
        <v>1</v>
      </c>
      <c r="F23" s="518">
        <f t="shared" si="8"/>
        <v>0.08963461538461538</v>
      </c>
      <c r="G23" s="561"/>
      <c r="H23" s="20">
        <f t="shared" si="9"/>
        <v>5</v>
      </c>
      <c r="I23" s="19"/>
      <c r="K23" s="541">
        <f>F23</f>
        <v>0.08963461538461538</v>
      </c>
      <c r="L23" s="541"/>
      <c r="M23" s="541"/>
      <c r="N23" s="543"/>
      <c r="O23" s="543"/>
      <c r="P23" s="523">
        <f t="shared" si="10"/>
        <v>0.08963461538461538</v>
      </c>
    </row>
    <row r="24" spans="1:16" ht="12.75" customHeight="1">
      <c r="A24" s="14">
        <v>6</v>
      </c>
      <c r="B24" s="562" t="s">
        <v>95</v>
      </c>
      <c r="C24" s="10">
        <v>450000</v>
      </c>
      <c r="D24" s="519">
        <f t="shared" si="7"/>
        <v>17.30769230769231</v>
      </c>
      <c r="E24" s="10">
        <v>1</v>
      </c>
      <c r="F24" s="518">
        <f t="shared" si="8"/>
        <v>17.30769230769231</v>
      </c>
      <c r="G24" s="561"/>
      <c r="H24" s="20">
        <f t="shared" si="9"/>
        <v>6</v>
      </c>
      <c r="I24" s="19"/>
      <c r="J24" s="948">
        <f>F24/2</f>
        <v>8.653846153846155</v>
      </c>
      <c r="K24" s="541"/>
      <c r="L24" s="541">
        <f>J24</f>
        <v>8.653846153846155</v>
      </c>
      <c r="M24" s="541"/>
      <c r="N24" s="543"/>
      <c r="O24" s="543"/>
      <c r="P24" s="523">
        <f t="shared" si="10"/>
        <v>17.30769230769231</v>
      </c>
    </row>
    <row r="25" spans="1:16" ht="12.75" customHeight="1">
      <c r="A25" s="14">
        <v>7</v>
      </c>
      <c r="B25" s="562" t="s">
        <v>98</v>
      </c>
      <c r="C25" s="10">
        <v>15000</v>
      </c>
      <c r="D25" s="519">
        <f t="shared" si="7"/>
        <v>0.5769230769230769</v>
      </c>
      <c r="E25" s="10">
        <v>1</v>
      </c>
      <c r="F25" s="518">
        <f t="shared" si="8"/>
        <v>0.5769230769230769</v>
      </c>
      <c r="G25" s="561"/>
      <c r="H25" s="20">
        <f t="shared" si="9"/>
        <v>7</v>
      </c>
      <c r="I25" s="19"/>
      <c r="J25" s="948"/>
      <c r="L25" s="541">
        <f>F25</f>
        <v>0.5769230769230769</v>
      </c>
      <c r="M25" s="541"/>
      <c r="N25" s="543"/>
      <c r="O25" s="543"/>
      <c r="P25" s="523">
        <f t="shared" si="10"/>
        <v>0.5769230769230769</v>
      </c>
    </row>
    <row r="26" spans="1:16" ht="12.75" customHeight="1">
      <c r="A26" s="14">
        <v>8</v>
      </c>
      <c r="B26" s="562" t="s">
        <v>55</v>
      </c>
      <c r="C26" s="10">
        <v>15000</v>
      </c>
      <c r="D26" s="519">
        <f t="shared" si="7"/>
        <v>0.5769230769230769</v>
      </c>
      <c r="E26" s="10">
        <v>1</v>
      </c>
      <c r="F26" s="518">
        <f t="shared" si="8"/>
        <v>0.5769230769230769</v>
      </c>
      <c r="G26" s="561"/>
      <c r="H26" s="20">
        <f t="shared" si="9"/>
        <v>8</v>
      </c>
      <c r="I26" s="19"/>
      <c r="J26" s="948"/>
      <c r="K26" s="541">
        <f>F26</f>
        <v>0.5769230769230769</v>
      </c>
      <c r="M26" s="541"/>
      <c r="N26" s="543"/>
      <c r="O26" s="543"/>
      <c r="P26" s="523">
        <f t="shared" si="10"/>
        <v>0.5769230769230769</v>
      </c>
    </row>
    <row r="27" spans="1:16" ht="12.75" customHeight="1">
      <c r="A27" s="14">
        <v>9</v>
      </c>
      <c r="B27" s="562" t="s">
        <v>56</v>
      </c>
      <c r="C27" s="10">
        <v>160000</v>
      </c>
      <c r="D27" s="519">
        <f t="shared" si="7"/>
        <v>6.153846153846154</v>
      </c>
      <c r="E27" s="10">
        <v>0</v>
      </c>
      <c r="F27" s="518">
        <f t="shared" si="8"/>
        <v>0</v>
      </c>
      <c r="G27" s="561"/>
      <c r="H27" s="20">
        <f t="shared" si="9"/>
        <v>9</v>
      </c>
      <c r="I27" s="19"/>
      <c r="J27" s="948"/>
      <c r="K27" s="541"/>
      <c r="L27" s="541">
        <f>F27</f>
        <v>0</v>
      </c>
      <c r="M27" s="541"/>
      <c r="N27" s="543"/>
      <c r="O27" s="543"/>
      <c r="P27" s="523">
        <f t="shared" si="10"/>
        <v>0</v>
      </c>
    </row>
    <row r="28" spans="1:16" ht="12.75" customHeight="1">
      <c r="A28" s="14">
        <v>10</v>
      </c>
      <c r="B28" s="562" t="s">
        <v>57</v>
      </c>
      <c r="C28" s="10">
        <v>160000</v>
      </c>
      <c r="D28" s="519">
        <f t="shared" si="7"/>
        <v>6.153846153846154</v>
      </c>
      <c r="E28" s="10">
        <v>2</v>
      </c>
      <c r="F28" s="518">
        <f t="shared" si="8"/>
        <v>12.307692307692308</v>
      </c>
      <c r="G28" s="561"/>
      <c r="H28" s="20">
        <f t="shared" si="9"/>
        <v>10</v>
      </c>
      <c r="I28" s="19"/>
      <c r="J28" s="948">
        <f>F28/2</f>
        <v>6.153846153846154</v>
      </c>
      <c r="K28" s="541"/>
      <c r="L28" s="541">
        <f>J28</f>
        <v>6.153846153846154</v>
      </c>
      <c r="M28" s="541"/>
      <c r="N28" s="543"/>
      <c r="O28" s="543"/>
      <c r="P28" s="523">
        <f t="shared" si="10"/>
        <v>12.307692307692308</v>
      </c>
    </row>
    <row r="29" spans="1:16" ht="12.75" customHeight="1">
      <c r="A29" s="14">
        <v>11</v>
      </c>
      <c r="B29" s="562" t="s">
        <v>58</v>
      </c>
      <c r="C29" s="10">
        <v>24300</v>
      </c>
      <c r="D29" s="519">
        <f t="shared" si="7"/>
        <v>0.9346153846153846</v>
      </c>
      <c r="E29" s="10">
        <v>4</v>
      </c>
      <c r="F29" s="518">
        <f t="shared" si="8"/>
        <v>3.7384615384615385</v>
      </c>
      <c r="G29" s="561"/>
      <c r="H29" s="20">
        <f t="shared" si="9"/>
        <v>11</v>
      </c>
      <c r="I29" s="19"/>
      <c r="J29" s="948"/>
      <c r="K29" s="541"/>
      <c r="L29" s="541">
        <f>F29</f>
        <v>3.7384615384615385</v>
      </c>
      <c r="M29" s="541"/>
      <c r="N29" s="543"/>
      <c r="O29" s="543"/>
      <c r="P29" s="523">
        <f t="shared" si="10"/>
        <v>3.7384615384615385</v>
      </c>
    </row>
    <row r="30" spans="1:16" ht="12.75" customHeight="1">
      <c r="A30" s="14">
        <v>12</v>
      </c>
      <c r="B30" s="562" t="s">
        <v>93</v>
      </c>
      <c r="C30" s="10">
        <v>3300</v>
      </c>
      <c r="D30" s="519">
        <f t="shared" si="7"/>
        <v>0.12692307692307692</v>
      </c>
      <c r="E30" s="10">
        <v>4</v>
      </c>
      <c r="F30" s="518">
        <f t="shared" si="8"/>
        <v>0.5076923076923077</v>
      </c>
      <c r="G30" s="561"/>
      <c r="H30" s="20">
        <f t="shared" si="9"/>
        <v>12</v>
      </c>
      <c r="I30" s="19"/>
      <c r="J30" s="948"/>
      <c r="K30" s="541"/>
      <c r="L30" s="541"/>
      <c r="M30" s="541">
        <f>F30</f>
        <v>0.5076923076923077</v>
      </c>
      <c r="N30" s="543"/>
      <c r="O30" s="543"/>
      <c r="P30" s="523">
        <f t="shared" si="10"/>
        <v>0.5076923076923077</v>
      </c>
    </row>
    <row r="31" spans="1:16" ht="12.75" customHeight="1">
      <c r="A31" s="14">
        <v>13</v>
      </c>
      <c r="B31" s="562" t="s">
        <v>59</v>
      </c>
      <c r="C31" s="10">
        <v>154400</v>
      </c>
      <c r="D31" s="519">
        <f t="shared" si="7"/>
        <v>5.938461538461538</v>
      </c>
      <c r="E31" s="10">
        <v>1</v>
      </c>
      <c r="F31" s="518">
        <f t="shared" si="8"/>
        <v>5.938461538461538</v>
      </c>
      <c r="G31" s="561"/>
      <c r="H31" s="20">
        <f t="shared" si="9"/>
        <v>13</v>
      </c>
      <c r="I31" s="19"/>
      <c r="J31" s="948"/>
      <c r="K31" s="541"/>
      <c r="L31" s="541"/>
      <c r="M31" s="541">
        <f>F31</f>
        <v>5.938461538461538</v>
      </c>
      <c r="N31" s="543"/>
      <c r="O31" s="543"/>
      <c r="P31" s="523">
        <f t="shared" si="10"/>
        <v>5.938461538461538</v>
      </c>
    </row>
    <row r="32" spans="1:16" s="565" customFormat="1" ht="15" customHeight="1">
      <c r="A32" s="14">
        <v>14</v>
      </c>
      <c r="B32" s="563" t="s">
        <v>64</v>
      </c>
      <c r="C32" s="612">
        <v>86300</v>
      </c>
      <c r="D32" s="519">
        <f t="shared" si="7"/>
        <v>3.319230769230769</v>
      </c>
      <c r="E32" s="612">
        <v>1</v>
      </c>
      <c r="F32" s="518">
        <f t="shared" si="8"/>
        <v>3.319230769230769</v>
      </c>
      <c r="G32" s="564"/>
      <c r="H32" s="20">
        <f t="shared" si="9"/>
        <v>14</v>
      </c>
      <c r="I32" s="19"/>
      <c r="J32" s="949"/>
      <c r="K32" s="563"/>
      <c r="L32" s="563"/>
      <c r="M32" s="563">
        <f>F32</f>
        <v>3.319230769230769</v>
      </c>
      <c r="N32" s="942"/>
      <c r="O32" s="942"/>
      <c r="P32" s="523">
        <f t="shared" si="10"/>
        <v>3.319230769230769</v>
      </c>
    </row>
    <row r="33" spans="1:16" ht="12.75" customHeight="1">
      <c r="A33" s="14">
        <v>15</v>
      </c>
      <c r="B33" s="566" t="s">
        <v>60</v>
      </c>
      <c r="C33" s="10">
        <f>2500*26</f>
        <v>65000</v>
      </c>
      <c r="D33" s="519">
        <f t="shared" si="7"/>
        <v>2.5</v>
      </c>
      <c r="E33" s="10">
        <v>2</v>
      </c>
      <c r="F33" s="518">
        <f t="shared" si="8"/>
        <v>5</v>
      </c>
      <c r="G33" s="561"/>
      <c r="H33" s="20">
        <f t="shared" si="9"/>
        <v>15</v>
      </c>
      <c r="I33" s="19"/>
      <c r="J33" s="948"/>
      <c r="K33" s="541"/>
      <c r="L33" s="541">
        <f>F33</f>
        <v>5</v>
      </c>
      <c r="M33" s="541"/>
      <c r="N33" s="543"/>
      <c r="O33" s="543"/>
      <c r="P33" s="523">
        <f t="shared" si="10"/>
        <v>5</v>
      </c>
    </row>
    <row r="34" spans="1:16" ht="12.75" customHeight="1">
      <c r="A34" s="14">
        <v>16</v>
      </c>
      <c r="B34" s="562" t="s">
        <v>28</v>
      </c>
      <c r="C34" s="10">
        <v>52300</v>
      </c>
      <c r="D34" s="519">
        <f t="shared" si="7"/>
        <v>2.0115384615384615</v>
      </c>
      <c r="E34" s="10">
        <v>1</v>
      </c>
      <c r="F34" s="518">
        <f t="shared" si="8"/>
        <v>2.0115384615384615</v>
      </c>
      <c r="G34" s="561"/>
      <c r="H34" s="20">
        <f t="shared" si="9"/>
        <v>16</v>
      </c>
      <c r="I34" s="19"/>
      <c r="J34" s="948"/>
      <c r="K34" s="541"/>
      <c r="L34" s="541"/>
      <c r="M34" s="541">
        <f>F34</f>
        <v>2.0115384615384615</v>
      </c>
      <c r="N34" s="543"/>
      <c r="O34" s="543"/>
      <c r="P34" s="523">
        <f t="shared" si="10"/>
        <v>2.0115384615384615</v>
      </c>
    </row>
    <row r="35" spans="1:16" ht="12.75" customHeight="1">
      <c r="A35" s="14">
        <v>17</v>
      </c>
      <c r="B35" s="562" t="s">
        <v>62</v>
      </c>
      <c r="C35" s="10">
        <v>12500</v>
      </c>
      <c r="D35" s="519">
        <f t="shared" si="7"/>
        <v>0.4807692307692308</v>
      </c>
      <c r="E35" s="10">
        <v>1</v>
      </c>
      <c r="F35" s="518">
        <f t="shared" si="8"/>
        <v>0.4807692307692308</v>
      </c>
      <c r="G35" s="561"/>
      <c r="H35" s="20">
        <f t="shared" si="9"/>
        <v>17</v>
      </c>
      <c r="I35" s="19"/>
      <c r="J35" s="948">
        <f>F35</f>
        <v>0.4807692307692308</v>
      </c>
      <c r="K35" s="541"/>
      <c r="L35" s="541"/>
      <c r="M35" s="541"/>
      <c r="N35" s="543"/>
      <c r="O35" s="543"/>
      <c r="P35" s="523">
        <f t="shared" si="10"/>
        <v>0.4807692307692308</v>
      </c>
    </row>
    <row r="36" spans="1:16" ht="12.75" customHeight="1">
      <c r="A36" s="14">
        <v>18</v>
      </c>
      <c r="B36" s="562" t="s">
        <v>11</v>
      </c>
      <c r="C36" s="10">
        <v>21000</v>
      </c>
      <c r="D36" s="519">
        <f t="shared" si="7"/>
        <v>0.8076923076923077</v>
      </c>
      <c r="E36" s="10">
        <v>1</v>
      </c>
      <c r="F36" s="518">
        <f t="shared" si="8"/>
        <v>0.8076923076923077</v>
      </c>
      <c r="G36" s="561"/>
      <c r="H36" s="20">
        <f t="shared" si="9"/>
        <v>18</v>
      </c>
      <c r="I36" s="19"/>
      <c r="J36" s="948"/>
      <c r="K36" s="541"/>
      <c r="L36" s="541"/>
      <c r="M36" s="541">
        <f>F36</f>
        <v>0.8076923076923077</v>
      </c>
      <c r="N36" s="543"/>
      <c r="O36" s="543"/>
      <c r="P36" s="523">
        <f t="shared" si="10"/>
        <v>0.8076923076923077</v>
      </c>
    </row>
    <row r="37" spans="1:16" ht="12.75" customHeight="1">
      <c r="A37" s="14">
        <v>19</v>
      </c>
      <c r="B37" s="562" t="s">
        <v>65</v>
      </c>
      <c r="C37" s="10">
        <v>25000</v>
      </c>
      <c r="D37" s="519">
        <f t="shared" si="7"/>
        <v>0.9615384615384616</v>
      </c>
      <c r="E37" s="10">
        <v>1</v>
      </c>
      <c r="F37" s="518">
        <f t="shared" si="8"/>
        <v>0.9615384615384616</v>
      </c>
      <c r="G37" s="561"/>
      <c r="H37" s="20">
        <f t="shared" si="9"/>
        <v>19</v>
      </c>
      <c r="I37" s="19"/>
      <c r="J37" s="948">
        <f>F37</f>
        <v>0.9615384615384616</v>
      </c>
      <c r="K37" s="541"/>
      <c r="L37" s="541"/>
      <c r="M37" s="541"/>
      <c r="N37" s="543"/>
      <c r="O37" s="543"/>
      <c r="P37" s="523">
        <f t="shared" si="10"/>
        <v>0.9615384615384616</v>
      </c>
    </row>
    <row r="38" spans="1:16" ht="12.75" customHeight="1">
      <c r="A38" s="14">
        <v>20</v>
      </c>
      <c r="B38" s="562" t="s">
        <v>70</v>
      </c>
      <c r="C38" s="10">
        <v>21500</v>
      </c>
      <c r="D38" s="519">
        <f t="shared" si="7"/>
        <v>0.8269230769230769</v>
      </c>
      <c r="E38" s="10">
        <v>1</v>
      </c>
      <c r="F38" s="518">
        <f t="shared" si="8"/>
        <v>0.8269230769230769</v>
      </c>
      <c r="G38" s="561"/>
      <c r="H38" s="20">
        <f t="shared" si="9"/>
        <v>20</v>
      </c>
      <c r="I38" s="19"/>
      <c r="J38" s="948"/>
      <c r="K38" s="541"/>
      <c r="L38" s="541">
        <f>F38</f>
        <v>0.8269230769230769</v>
      </c>
      <c r="M38" s="541"/>
      <c r="N38" s="543"/>
      <c r="O38" s="543"/>
      <c r="P38" s="523">
        <f t="shared" si="10"/>
        <v>0.8269230769230769</v>
      </c>
    </row>
    <row r="39" spans="1:16" ht="12.75" customHeight="1">
      <c r="A39" s="14">
        <v>21</v>
      </c>
      <c r="B39" s="562" t="s">
        <v>79</v>
      </c>
      <c r="C39" s="10">
        <v>63000</v>
      </c>
      <c r="D39" s="519">
        <f t="shared" si="7"/>
        <v>2.423076923076923</v>
      </c>
      <c r="E39" s="10">
        <v>1</v>
      </c>
      <c r="F39" s="518">
        <f t="shared" si="8"/>
        <v>2.423076923076923</v>
      </c>
      <c r="G39" s="561"/>
      <c r="H39" s="20">
        <f t="shared" si="9"/>
        <v>21</v>
      </c>
      <c r="I39" s="19"/>
      <c r="J39" s="948"/>
      <c r="K39" s="541"/>
      <c r="L39" s="541">
        <f>F39</f>
        <v>2.423076923076923</v>
      </c>
      <c r="M39" s="541"/>
      <c r="N39" s="543"/>
      <c r="O39" s="543"/>
      <c r="P39" s="523">
        <f t="shared" si="10"/>
        <v>2.423076923076923</v>
      </c>
    </row>
    <row r="40" spans="1:16" ht="12.75" customHeight="1">
      <c r="A40" s="14">
        <v>22</v>
      </c>
      <c r="B40" s="562" t="s">
        <v>8</v>
      </c>
      <c r="C40" s="10">
        <f>40000*27</f>
        <v>1080000</v>
      </c>
      <c r="D40" s="519">
        <f t="shared" si="7"/>
        <v>41.53846153846154</v>
      </c>
      <c r="E40" s="7">
        <v>0</v>
      </c>
      <c r="F40" s="518">
        <f t="shared" si="8"/>
        <v>0</v>
      </c>
      <c r="G40" s="561"/>
      <c r="H40" s="20">
        <f t="shared" si="9"/>
        <v>22</v>
      </c>
      <c r="I40" s="19"/>
      <c r="J40" s="948"/>
      <c r="K40" s="541"/>
      <c r="L40" s="541">
        <f>F40</f>
        <v>0</v>
      </c>
      <c r="M40" s="541"/>
      <c r="N40" s="543"/>
      <c r="O40" s="543"/>
      <c r="P40" s="523">
        <f t="shared" si="10"/>
        <v>0</v>
      </c>
    </row>
    <row r="41" spans="1:16" ht="12.75" customHeight="1">
      <c r="A41" s="11"/>
      <c r="B41" s="568" t="s">
        <v>2</v>
      </c>
      <c r="C41" s="11"/>
      <c r="D41" s="627"/>
      <c r="E41" s="525"/>
      <c r="F41" s="525">
        <f>SUM(F19:F40)</f>
        <v>61.943480769230774</v>
      </c>
      <c r="H41" s="29"/>
      <c r="I41" s="29"/>
      <c r="J41" s="526">
        <f>SUM(J19:J40)</f>
        <v>17.403846153846153</v>
      </c>
      <c r="K41" s="526">
        <f>SUM(K19:K40)</f>
        <v>4.581942307692308</v>
      </c>
      <c r="L41" s="526">
        <f>SUM(L19:L40)</f>
        <v>27.373076923076926</v>
      </c>
      <c r="M41" s="526">
        <f>SUM(M19:M40)</f>
        <v>12.584615384615384</v>
      </c>
      <c r="P41" s="569">
        <f>SUM(J41:M41)</f>
        <v>61.94348076923077</v>
      </c>
    </row>
    <row r="42" spans="2:16" ht="12.75" customHeight="1">
      <c r="B42" s="524" t="s">
        <v>3</v>
      </c>
      <c r="E42" s="955">
        <v>0.3</v>
      </c>
      <c r="F42" s="570">
        <f>F41*E42</f>
        <v>18.583044230769232</v>
      </c>
      <c r="G42" s="570"/>
      <c r="J42" s="543">
        <f>J41*30%</f>
        <v>5.221153846153846</v>
      </c>
      <c r="K42" s="543">
        <f>K41*30%</f>
        <v>1.3745826923076923</v>
      </c>
      <c r="L42" s="543">
        <f>L41*30%</f>
        <v>8.211923076923078</v>
      </c>
      <c r="M42" s="543">
        <f>M41*30%</f>
        <v>3.775384615384615</v>
      </c>
      <c r="N42" s="543"/>
      <c r="O42" s="543"/>
      <c r="P42" s="525">
        <f>SUM(J42:M42)</f>
        <v>18.583044230769232</v>
      </c>
    </row>
    <row r="43" spans="2:16" ht="12.75" customHeight="1">
      <c r="B43" s="524" t="s">
        <v>2</v>
      </c>
      <c r="E43" s="955"/>
      <c r="F43" s="523">
        <f>F41+F42</f>
        <v>80.526525</v>
      </c>
      <c r="J43" s="543"/>
      <c r="K43" s="543"/>
      <c r="L43" s="543"/>
      <c r="M43" s="543"/>
      <c r="N43" s="543"/>
      <c r="O43" s="543"/>
      <c r="P43" s="525"/>
    </row>
    <row r="44" spans="2:16" ht="12.75" customHeight="1">
      <c r="B44" s="524" t="s">
        <v>12</v>
      </c>
      <c r="E44" s="955">
        <v>0.18</v>
      </c>
      <c r="F44" s="523">
        <f>E44*F43</f>
        <v>14.4947745</v>
      </c>
      <c r="H44" s="603"/>
      <c r="I44" s="603"/>
      <c r="J44" s="543">
        <f>(J42+J41)*18%</f>
        <v>4.0725</v>
      </c>
      <c r="K44" s="543">
        <f>(K42+K41)*18%</f>
        <v>1.0721745</v>
      </c>
      <c r="L44" s="543">
        <f>(L42+L41)*18%</f>
        <v>6.405300000000001</v>
      </c>
      <c r="M44" s="543">
        <f>(M42+M41)*18%</f>
        <v>2.9448</v>
      </c>
      <c r="N44" s="543"/>
      <c r="O44" s="543"/>
      <c r="P44" s="525">
        <f>SUM(J44:M44)</f>
        <v>14.494774500000002</v>
      </c>
    </row>
    <row r="45" spans="2:16" ht="12.75" customHeight="1">
      <c r="B45" s="571" t="s">
        <v>2</v>
      </c>
      <c r="C45" s="611"/>
      <c r="D45" s="626"/>
      <c r="F45" s="572">
        <f>SUM(F43:F44)</f>
        <v>95.02129950000001</v>
      </c>
      <c r="G45" s="529"/>
      <c r="J45" s="617">
        <f>SUM(J41:J44)</f>
        <v>26.697499999999998</v>
      </c>
      <c r="K45" s="617">
        <f>SUM(K41:K44)</f>
        <v>7.0286995</v>
      </c>
      <c r="L45" s="617">
        <f>SUM(L41:L44)</f>
        <v>41.99030000000001</v>
      </c>
      <c r="M45" s="617">
        <f>SUM(M41:M44)</f>
        <v>19.3048</v>
      </c>
      <c r="N45" s="618"/>
      <c r="O45" s="618"/>
      <c r="P45" s="529">
        <f>SUM(J45:M45)</f>
        <v>95.02129950000001</v>
      </c>
    </row>
    <row r="46" spans="2:16" ht="12.75" customHeight="1">
      <c r="B46" s="571"/>
      <c r="E46" s="573"/>
      <c r="H46" s="603"/>
      <c r="I46" s="603"/>
      <c r="P46" s="529"/>
    </row>
    <row r="47" spans="1:16" s="527" customFormat="1" ht="15" customHeight="1" thickBot="1">
      <c r="A47" s="12"/>
      <c r="B47" s="635" t="s">
        <v>456</v>
      </c>
      <c r="C47" s="12"/>
      <c r="D47" s="622"/>
      <c r="E47" s="523"/>
      <c r="F47" s="523"/>
      <c r="G47" s="525"/>
      <c r="H47" s="603"/>
      <c r="I47" s="603"/>
      <c r="J47" s="530"/>
      <c r="K47" s="530"/>
      <c r="L47" s="530"/>
      <c r="M47" s="530"/>
      <c r="N47" s="530"/>
      <c r="O47" s="530"/>
      <c r="P47" s="525"/>
    </row>
    <row r="48" spans="1:16" ht="12.75" customHeight="1" thickBot="1">
      <c r="A48" s="954" t="s">
        <v>4</v>
      </c>
      <c r="B48" s="574" t="s">
        <v>5</v>
      </c>
      <c r="C48" s="610" t="s">
        <v>50</v>
      </c>
      <c r="D48" s="555" t="s">
        <v>363</v>
      </c>
      <c r="E48" s="532" t="s">
        <v>27</v>
      </c>
      <c r="F48" s="533" t="s">
        <v>51</v>
      </c>
      <c r="G48" s="529"/>
      <c r="H48" s="24" t="s">
        <v>4</v>
      </c>
      <c r="I48" s="945">
        <v>1</v>
      </c>
      <c r="J48" s="945">
        <v>2</v>
      </c>
      <c r="K48" s="945">
        <v>3</v>
      </c>
      <c r="L48" s="945">
        <v>4</v>
      </c>
      <c r="M48" s="945">
        <v>5</v>
      </c>
      <c r="N48" s="945">
        <v>6</v>
      </c>
      <c r="O48" s="21">
        <v>7</v>
      </c>
      <c r="P48" s="525"/>
    </row>
    <row r="49" spans="1:16" ht="12.75" customHeight="1">
      <c r="A49" s="13">
        <v>1</v>
      </c>
      <c r="B49" s="575" t="s">
        <v>455</v>
      </c>
      <c r="C49" s="13">
        <f>700*26*2</f>
        <v>36400</v>
      </c>
      <c r="D49" s="628">
        <f>C49/1000/26</f>
        <v>1.4</v>
      </c>
      <c r="E49" s="14">
        <v>7</v>
      </c>
      <c r="F49" s="576">
        <f>D49*E49</f>
        <v>9.799999999999999</v>
      </c>
      <c r="G49" s="567"/>
      <c r="H49" s="23">
        <v>1</v>
      </c>
      <c r="I49" s="1060">
        <f aca="true" t="shared" si="11" ref="I49:I59">D49</f>
        <v>1.4</v>
      </c>
      <c r="J49" s="541">
        <f>D49</f>
        <v>1.4</v>
      </c>
      <c r="K49" s="541">
        <f>J49</f>
        <v>1.4</v>
      </c>
      <c r="L49" s="541">
        <f>K49</f>
        <v>1.4</v>
      </c>
      <c r="M49" s="541">
        <f>L49</f>
        <v>1.4</v>
      </c>
      <c r="N49" s="541">
        <f>M49</f>
        <v>1.4</v>
      </c>
      <c r="O49" s="541">
        <f>N49</f>
        <v>1.4</v>
      </c>
      <c r="P49" s="525">
        <f>SUM(J49:O49)</f>
        <v>8.4</v>
      </c>
    </row>
    <row r="50" spans="1:16" ht="12.75" customHeight="1">
      <c r="A50" s="10">
        <v>2</v>
      </c>
      <c r="B50" s="562" t="s">
        <v>43</v>
      </c>
      <c r="C50" s="10">
        <f>C49*0.26</f>
        <v>9464</v>
      </c>
      <c r="D50" s="628">
        <f aca="true" t="shared" si="12" ref="D50:D67">C50/1000/26</f>
        <v>0.364</v>
      </c>
      <c r="E50" s="8">
        <v>0.26</v>
      </c>
      <c r="F50" s="577">
        <f>F49*E50</f>
        <v>2.5479999999999996</v>
      </c>
      <c r="G50" s="567"/>
      <c r="H50" s="22">
        <v>2</v>
      </c>
      <c r="I50" s="1060">
        <f t="shared" si="11"/>
        <v>0.364</v>
      </c>
      <c r="J50" s="541">
        <f aca="true" t="shared" si="13" ref="J50:O50">26%*(J49)</f>
        <v>0.364</v>
      </c>
      <c r="K50" s="541">
        <f t="shared" si="13"/>
        <v>0.364</v>
      </c>
      <c r="L50" s="541">
        <f t="shared" si="13"/>
        <v>0.364</v>
      </c>
      <c r="M50" s="541">
        <f t="shared" si="13"/>
        <v>0.364</v>
      </c>
      <c r="N50" s="541">
        <f t="shared" si="13"/>
        <v>0.364</v>
      </c>
      <c r="O50" s="541">
        <f t="shared" si="13"/>
        <v>0.364</v>
      </c>
      <c r="P50" s="525">
        <f>SUM(J50:O50)</f>
        <v>2.1839999999999997</v>
      </c>
    </row>
    <row r="51" spans="1:16" ht="12.75" customHeight="1">
      <c r="A51" s="10">
        <v>3</v>
      </c>
      <c r="B51" s="562" t="s">
        <v>68</v>
      </c>
      <c r="C51" s="10">
        <v>13500</v>
      </c>
      <c r="D51" s="628">
        <f t="shared" si="12"/>
        <v>0.5192307692307693</v>
      </c>
      <c r="E51" s="7">
        <v>7</v>
      </c>
      <c r="F51" s="577">
        <f aca="true" t="shared" si="14" ref="F51:F60">D51*E51</f>
        <v>3.634615384615385</v>
      </c>
      <c r="G51" s="567"/>
      <c r="H51" s="22">
        <v>4</v>
      </c>
      <c r="I51" s="1060">
        <f t="shared" si="11"/>
        <v>0.5192307692307693</v>
      </c>
      <c r="J51" s="541">
        <f>K51</f>
        <v>0.5192307692307693</v>
      </c>
      <c r="K51" s="541">
        <f>L51</f>
        <v>0.5192307692307693</v>
      </c>
      <c r="L51" s="541">
        <f>D51</f>
        <v>0.5192307692307693</v>
      </c>
      <c r="M51" s="541">
        <f aca="true" t="shared" si="15" ref="M51:O60">L51</f>
        <v>0.5192307692307693</v>
      </c>
      <c r="N51" s="541">
        <f t="shared" si="15"/>
        <v>0.5192307692307693</v>
      </c>
      <c r="O51" s="541">
        <f t="shared" si="15"/>
        <v>0.5192307692307693</v>
      </c>
      <c r="P51" s="525">
        <f>SUM(J51:O51)</f>
        <v>3.1153846153846154</v>
      </c>
    </row>
    <row r="52" spans="1:16" ht="12.75" customHeight="1">
      <c r="A52" s="10">
        <v>4</v>
      </c>
      <c r="B52" s="562" t="s">
        <v>10</v>
      </c>
      <c r="C52" s="10">
        <v>25000</v>
      </c>
      <c r="D52" s="628">
        <f t="shared" si="12"/>
        <v>0.9615384615384616</v>
      </c>
      <c r="E52" s="7">
        <f>E51</f>
        <v>7</v>
      </c>
      <c r="F52" s="577">
        <f t="shared" si="14"/>
        <v>6.730769230769231</v>
      </c>
      <c r="G52" s="567"/>
      <c r="H52" s="22">
        <v>6</v>
      </c>
      <c r="I52" s="1060">
        <f t="shared" si="11"/>
        <v>0.9615384615384616</v>
      </c>
      <c r="J52" s="541">
        <f>K52</f>
        <v>0.9615384615384616</v>
      </c>
      <c r="K52" s="541">
        <f>L52</f>
        <v>0.9615384615384616</v>
      </c>
      <c r="L52" s="541">
        <f>D52</f>
        <v>0.9615384615384616</v>
      </c>
      <c r="M52" s="541">
        <f t="shared" si="15"/>
        <v>0.9615384615384616</v>
      </c>
      <c r="N52" s="541">
        <f t="shared" si="15"/>
        <v>0.9615384615384616</v>
      </c>
      <c r="O52" s="541">
        <f t="shared" si="15"/>
        <v>0.9615384615384616</v>
      </c>
      <c r="P52" s="525">
        <f>SUM(J52:O52)</f>
        <v>5.769230769230769</v>
      </c>
    </row>
    <row r="53" spans="1:16" ht="12.75" customHeight="1">
      <c r="A53" s="10">
        <v>5</v>
      </c>
      <c r="B53" s="562" t="s">
        <v>6</v>
      </c>
      <c r="C53" s="10">
        <f>1080*3+3000</f>
        <v>6240</v>
      </c>
      <c r="D53" s="628">
        <f t="shared" si="12"/>
        <v>0.24000000000000002</v>
      </c>
      <c r="E53" s="7">
        <f>E52</f>
        <v>7</v>
      </c>
      <c r="F53" s="577">
        <f t="shared" si="14"/>
        <v>1.6800000000000002</v>
      </c>
      <c r="G53" s="567"/>
      <c r="H53" s="22">
        <v>5</v>
      </c>
      <c r="I53" s="1060">
        <f t="shared" si="11"/>
        <v>0.24000000000000002</v>
      </c>
      <c r="J53" s="541">
        <f>D53</f>
        <v>0.24000000000000002</v>
      </c>
      <c r="K53" s="541">
        <f>D53</f>
        <v>0.24000000000000002</v>
      </c>
      <c r="L53" s="541">
        <f aca="true" t="shared" si="16" ref="L53:L63">D53</f>
        <v>0.24000000000000002</v>
      </c>
      <c r="M53" s="541">
        <f t="shared" si="15"/>
        <v>0.24000000000000002</v>
      </c>
      <c r="N53" s="541">
        <f t="shared" si="15"/>
        <v>0.24000000000000002</v>
      </c>
      <c r="O53" s="541">
        <f t="shared" si="15"/>
        <v>0.24000000000000002</v>
      </c>
      <c r="P53" s="525">
        <f>SUM(J53:O53)</f>
        <v>1.4400000000000002</v>
      </c>
    </row>
    <row r="54" spans="1:16" ht="12.75" customHeight="1">
      <c r="A54" s="10">
        <v>6</v>
      </c>
      <c r="B54" s="562" t="s">
        <v>449</v>
      </c>
      <c r="C54" s="10">
        <f>5133*10</f>
        <v>51330</v>
      </c>
      <c r="D54" s="628">
        <f t="shared" si="12"/>
        <v>1.9742307692307692</v>
      </c>
      <c r="E54" s="7">
        <v>7</v>
      </c>
      <c r="F54" s="577">
        <f t="shared" si="14"/>
        <v>13.819615384615386</v>
      </c>
      <c r="G54" s="567"/>
      <c r="H54" s="22"/>
      <c r="I54" s="1059">
        <f t="shared" si="11"/>
        <v>1.9742307692307692</v>
      </c>
      <c r="J54" s="1059">
        <f aca="true" t="shared" si="17" ref="J54:O55">I54</f>
        <v>1.9742307692307692</v>
      </c>
      <c r="K54" s="1059">
        <f t="shared" si="17"/>
        <v>1.9742307692307692</v>
      </c>
      <c r="L54" s="1059">
        <f t="shared" si="17"/>
        <v>1.9742307692307692</v>
      </c>
      <c r="M54" s="1059">
        <f t="shared" si="17"/>
        <v>1.9742307692307692</v>
      </c>
      <c r="N54" s="1059">
        <f t="shared" si="17"/>
        <v>1.9742307692307692</v>
      </c>
      <c r="O54" s="1059">
        <f t="shared" si="17"/>
        <v>1.9742307692307692</v>
      </c>
      <c r="P54" s="525">
        <f>SUM(I54:O54)</f>
        <v>13.819615384615382</v>
      </c>
    </row>
    <row r="55" spans="1:16" ht="12.75" customHeight="1">
      <c r="A55" s="10">
        <v>7</v>
      </c>
      <c r="B55" s="562" t="s">
        <v>450</v>
      </c>
      <c r="C55" s="10">
        <f>500*2*2*8</f>
        <v>16000</v>
      </c>
      <c r="D55" s="628">
        <f t="shared" si="12"/>
        <v>0.6153846153846154</v>
      </c>
      <c r="E55" s="7">
        <v>7</v>
      </c>
      <c r="F55" s="577">
        <f t="shared" si="14"/>
        <v>4.307692307692308</v>
      </c>
      <c r="G55" s="567"/>
      <c r="H55" s="22"/>
      <c r="I55" s="1059">
        <f t="shared" si="11"/>
        <v>0.6153846153846154</v>
      </c>
      <c r="J55" s="1059">
        <f t="shared" si="17"/>
        <v>0.6153846153846154</v>
      </c>
      <c r="K55" s="1059">
        <f t="shared" si="17"/>
        <v>0.6153846153846154</v>
      </c>
      <c r="L55" s="1059">
        <f t="shared" si="17"/>
        <v>0.6153846153846154</v>
      </c>
      <c r="M55" s="1059">
        <f t="shared" si="17"/>
        <v>0.6153846153846154</v>
      </c>
      <c r="N55" s="1059">
        <f t="shared" si="17"/>
        <v>0.6153846153846154</v>
      </c>
      <c r="O55" s="1059">
        <f t="shared" si="17"/>
        <v>0.6153846153846154</v>
      </c>
      <c r="P55" s="525">
        <f>SUM(I55:O55)</f>
        <v>4.307692307692308</v>
      </c>
    </row>
    <row r="56" spans="1:16" ht="12.75" customHeight="1">
      <c r="A56" s="10">
        <v>8</v>
      </c>
      <c r="B56" s="562" t="s">
        <v>7</v>
      </c>
      <c r="C56" s="10">
        <f>2500*4</f>
        <v>10000</v>
      </c>
      <c r="D56" s="628">
        <f t="shared" si="12"/>
        <v>0.38461538461538464</v>
      </c>
      <c r="E56" s="7">
        <v>7</v>
      </c>
      <c r="F56" s="577">
        <f t="shared" si="14"/>
        <v>2.6923076923076925</v>
      </c>
      <c r="G56" s="567"/>
      <c r="H56" s="22">
        <v>7</v>
      </c>
      <c r="I56" s="1059">
        <f t="shared" si="11"/>
        <v>0.38461538461538464</v>
      </c>
      <c r="J56" s="541">
        <f>D56</f>
        <v>0.38461538461538464</v>
      </c>
      <c r="K56" s="541">
        <f>D56</f>
        <v>0.38461538461538464</v>
      </c>
      <c r="L56" s="541">
        <f t="shared" si="16"/>
        <v>0.38461538461538464</v>
      </c>
      <c r="M56" s="541">
        <f t="shared" si="15"/>
        <v>0.38461538461538464</v>
      </c>
      <c r="N56" s="541">
        <f t="shared" si="15"/>
        <v>0.38461538461538464</v>
      </c>
      <c r="O56" s="541">
        <f t="shared" si="15"/>
        <v>0.38461538461538464</v>
      </c>
      <c r="P56" s="525">
        <f>SUM(I56:O56)</f>
        <v>2.6923076923076925</v>
      </c>
    </row>
    <row r="57" spans="1:16" ht="12.75" customHeight="1">
      <c r="A57" s="10">
        <v>9</v>
      </c>
      <c r="B57" s="562" t="s">
        <v>451</v>
      </c>
      <c r="C57" s="10">
        <v>3600</v>
      </c>
      <c r="D57" s="628">
        <f t="shared" si="12"/>
        <v>0.13846153846153847</v>
      </c>
      <c r="E57" s="7">
        <f>E54</f>
        <v>7</v>
      </c>
      <c r="F57" s="577">
        <f t="shared" si="14"/>
        <v>0.9692307692307693</v>
      </c>
      <c r="G57" s="567"/>
      <c r="H57" s="22"/>
      <c r="I57" s="1033">
        <f t="shared" si="11"/>
        <v>0.13846153846153847</v>
      </c>
      <c r="J57" s="578">
        <f aca="true" t="shared" si="18" ref="J57:O58">I57</f>
        <v>0.13846153846153847</v>
      </c>
      <c r="K57" s="578">
        <f t="shared" si="18"/>
        <v>0.13846153846153847</v>
      </c>
      <c r="L57" s="578">
        <f t="shared" si="18"/>
        <v>0.13846153846153847</v>
      </c>
      <c r="M57" s="578">
        <f t="shared" si="18"/>
        <v>0.13846153846153847</v>
      </c>
      <c r="N57" s="578">
        <f t="shared" si="18"/>
        <v>0.13846153846153847</v>
      </c>
      <c r="O57" s="578">
        <f t="shared" si="18"/>
        <v>0.13846153846153847</v>
      </c>
      <c r="P57" s="525">
        <f aca="true" t="shared" si="19" ref="P57:P67">SUM(I57:O57)</f>
        <v>0.9692307692307691</v>
      </c>
    </row>
    <row r="58" spans="1:16" ht="12.75" customHeight="1">
      <c r="A58" s="10">
        <v>10</v>
      </c>
      <c r="B58" s="562" t="s">
        <v>452</v>
      </c>
      <c r="C58" s="10">
        <v>6000</v>
      </c>
      <c r="D58" s="628">
        <f t="shared" si="12"/>
        <v>0.23076923076923078</v>
      </c>
      <c r="E58" s="7">
        <f>E55</f>
        <v>7</v>
      </c>
      <c r="F58" s="577">
        <f t="shared" si="14"/>
        <v>1.6153846153846154</v>
      </c>
      <c r="G58" s="567"/>
      <c r="H58" s="22"/>
      <c r="I58" s="1033">
        <f t="shared" si="11"/>
        <v>0.23076923076923078</v>
      </c>
      <c r="J58" s="578">
        <f t="shared" si="18"/>
        <v>0.23076923076923078</v>
      </c>
      <c r="K58" s="578">
        <f t="shared" si="18"/>
        <v>0.23076923076923078</v>
      </c>
      <c r="L58" s="578">
        <f t="shared" si="18"/>
        <v>0.23076923076923078</v>
      </c>
      <c r="M58" s="578">
        <f t="shared" si="18"/>
        <v>0.23076923076923078</v>
      </c>
      <c r="N58" s="578">
        <f t="shared" si="18"/>
        <v>0.23076923076923078</v>
      </c>
      <c r="O58" s="578">
        <f t="shared" si="18"/>
        <v>0.23076923076923078</v>
      </c>
      <c r="P58" s="525">
        <f t="shared" si="19"/>
        <v>1.6153846153846156</v>
      </c>
    </row>
    <row r="59" spans="1:16" ht="12.75" customHeight="1">
      <c r="A59" s="10">
        <v>11</v>
      </c>
      <c r="B59" s="562" t="s">
        <v>462</v>
      </c>
      <c r="C59" s="10">
        <f>600*26</f>
        <v>15600</v>
      </c>
      <c r="D59" s="628">
        <f t="shared" si="12"/>
        <v>0.6</v>
      </c>
      <c r="E59" s="7">
        <f>E56</f>
        <v>7</v>
      </c>
      <c r="F59" s="577">
        <f t="shared" si="14"/>
        <v>4.2</v>
      </c>
      <c r="G59" s="567"/>
      <c r="H59" s="22">
        <v>8</v>
      </c>
      <c r="I59" s="1033">
        <f t="shared" si="11"/>
        <v>0.6</v>
      </c>
      <c r="J59" s="578">
        <f>D59</f>
        <v>0.6</v>
      </c>
      <c r="K59" s="578">
        <f>D59</f>
        <v>0.6</v>
      </c>
      <c r="L59" s="578">
        <f t="shared" si="16"/>
        <v>0.6</v>
      </c>
      <c r="M59" s="578">
        <f t="shared" si="15"/>
        <v>0.6</v>
      </c>
      <c r="N59" s="578">
        <f t="shared" si="15"/>
        <v>0.6</v>
      </c>
      <c r="O59" s="578">
        <f t="shared" si="15"/>
        <v>0.6</v>
      </c>
      <c r="P59" s="525">
        <f t="shared" si="19"/>
        <v>4.2</v>
      </c>
    </row>
    <row r="60" spans="1:16" ht="12.75" customHeight="1">
      <c r="A60" s="1338">
        <v>12</v>
      </c>
      <c r="B60" s="568" t="s">
        <v>80</v>
      </c>
      <c r="C60" s="1338">
        <v>14202</v>
      </c>
      <c r="D60" s="1341">
        <f t="shared" si="12"/>
        <v>0.5462307692307692</v>
      </c>
      <c r="E60" s="1343">
        <v>6</v>
      </c>
      <c r="F60" s="1339">
        <f t="shared" si="14"/>
        <v>3.277384615384615</v>
      </c>
      <c r="G60" s="567"/>
      <c r="H60" s="1340">
        <v>9</v>
      </c>
      <c r="I60" s="946"/>
      <c r="J60" s="579">
        <f>D60</f>
        <v>0.5462307692307692</v>
      </c>
      <c r="K60" s="579">
        <f>D60</f>
        <v>0.5462307692307692</v>
      </c>
      <c r="L60" s="578">
        <f t="shared" si="16"/>
        <v>0.5462307692307692</v>
      </c>
      <c r="M60" s="615">
        <f t="shared" si="15"/>
        <v>0.5462307692307692</v>
      </c>
      <c r="N60" s="1336">
        <f t="shared" si="15"/>
        <v>0.5462307692307692</v>
      </c>
      <c r="O60" s="1336">
        <f t="shared" si="15"/>
        <v>0.5462307692307692</v>
      </c>
      <c r="P60" s="525">
        <f t="shared" si="19"/>
        <v>3.2773846153846153</v>
      </c>
    </row>
    <row r="61" spans="1:16" ht="12.75" customHeight="1">
      <c r="A61" s="1338"/>
      <c r="B61" s="568" t="s">
        <v>81</v>
      </c>
      <c r="C61" s="1338"/>
      <c r="D61" s="1342"/>
      <c r="E61" s="1344"/>
      <c r="F61" s="1339"/>
      <c r="G61" s="567"/>
      <c r="H61" s="1340"/>
      <c r="I61" s="947"/>
      <c r="J61" s="580"/>
      <c r="K61" s="580"/>
      <c r="L61" s="538"/>
      <c r="M61" s="616"/>
      <c r="N61" s="1337"/>
      <c r="O61" s="1337"/>
      <c r="P61" s="525">
        <f t="shared" si="19"/>
        <v>0</v>
      </c>
    </row>
    <row r="62" spans="1:16" ht="12.75" customHeight="1">
      <c r="A62" s="10">
        <v>13</v>
      </c>
      <c r="B62" s="562" t="s">
        <v>453</v>
      </c>
      <c r="C62" s="10">
        <f>100*150/12*26</f>
        <v>32500</v>
      </c>
      <c r="D62" s="628">
        <f t="shared" si="12"/>
        <v>1.25</v>
      </c>
      <c r="E62" s="7">
        <v>6</v>
      </c>
      <c r="F62" s="577">
        <f aca="true" t="shared" si="20" ref="F62:F67">D62*E62</f>
        <v>7.5</v>
      </c>
      <c r="G62" s="567"/>
      <c r="H62" s="22">
        <v>10</v>
      </c>
      <c r="I62" s="22"/>
      <c r="J62" s="541">
        <f aca="true" t="shared" si="21" ref="J62:J67">D62</f>
        <v>1.25</v>
      </c>
      <c r="K62" s="541">
        <f>D62</f>
        <v>1.25</v>
      </c>
      <c r="L62" s="538">
        <f t="shared" si="16"/>
        <v>1.25</v>
      </c>
      <c r="M62" s="541">
        <f aca="true" t="shared" si="22" ref="M62:O64">L62</f>
        <v>1.25</v>
      </c>
      <c r="N62" s="541">
        <f t="shared" si="22"/>
        <v>1.25</v>
      </c>
      <c r="O62" s="541">
        <f t="shared" si="22"/>
        <v>1.25</v>
      </c>
      <c r="P62" s="525">
        <f t="shared" si="19"/>
        <v>7.5</v>
      </c>
    </row>
    <row r="63" spans="1:16" ht="12.75" customHeight="1">
      <c r="A63" s="10">
        <v>14</v>
      </c>
      <c r="B63" s="562" t="s">
        <v>431</v>
      </c>
      <c r="C63" s="10">
        <v>5000</v>
      </c>
      <c r="D63" s="628">
        <f t="shared" si="12"/>
        <v>0.19230769230769232</v>
      </c>
      <c r="E63" s="7">
        <v>6</v>
      </c>
      <c r="F63" s="577">
        <f t="shared" si="20"/>
        <v>1.153846153846154</v>
      </c>
      <c r="G63" s="567"/>
      <c r="H63" s="22">
        <v>11</v>
      </c>
      <c r="I63" s="1059"/>
      <c r="J63" s="541">
        <f t="shared" si="21"/>
        <v>0.19230769230769232</v>
      </c>
      <c r="K63" s="541">
        <f>D63</f>
        <v>0.19230769230769232</v>
      </c>
      <c r="L63" s="541">
        <f t="shared" si="16"/>
        <v>0.19230769230769232</v>
      </c>
      <c r="M63" s="541">
        <f t="shared" si="22"/>
        <v>0.19230769230769232</v>
      </c>
      <c r="N63" s="541">
        <f t="shared" si="22"/>
        <v>0.19230769230769232</v>
      </c>
      <c r="O63" s="541">
        <f t="shared" si="22"/>
        <v>0.19230769230769232</v>
      </c>
      <c r="P63" s="525">
        <f t="shared" si="19"/>
        <v>1.153846153846154</v>
      </c>
    </row>
    <row r="64" spans="1:16" ht="12.75" customHeight="1">
      <c r="A64" s="10">
        <v>15</v>
      </c>
      <c r="B64" s="562" t="s">
        <v>69</v>
      </c>
      <c r="C64" s="10">
        <v>500</v>
      </c>
      <c r="D64" s="628">
        <f t="shared" si="12"/>
        <v>0.019230769230769232</v>
      </c>
      <c r="E64" s="7">
        <v>7</v>
      </c>
      <c r="F64" s="577">
        <f t="shared" si="20"/>
        <v>0.13461538461538464</v>
      </c>
      <c r="G64" s="567"/>
      <c r="H64" s="22">
        <v>12</v>
      </c>
      <c r="I64" s="1059">
        <f>D64</f>
        <v>0.019230769230769232</v>
      </c>
      <c r="J64" s="541">
        <f t="shared" si="21"/>
        <v>0.019230769230769232</v>
      </c>
      <c r="K64" s="541">
        <f aca="true" t="shared" si="23" ref="K64:L66">J64</f>
        <v>0.019230769230769232</v>
      </c>
      <c r="L64" s="541">
        <f t="shared" si="23"/>
        <v>0.019230769230769232</v>
      </c>
      <c r="M64" s="541">
        <f t="shared" si="22"/>
        <v>0.019230769230769232</v>
      </c>
      <c r="N64" s="541">
        <f t="shared" si="22"/>
        <v>0.019230769230769232</v>
      </c>
      <c r="O64" s="541">
        <f t="shared" si="22"/>
        <v>0.019230769230769232</v>
      </c>
      <c r="P64" s="525">
        <f t="shared" si="19"/>
        <v>0.13461538461538464</v>
      </c>
    </row>
    <row r="65" spans="1:16" ht="12.75" customHeight="1">
      <c r="A65" s="10">
        <v>16</v>
      </c>
      <c r="B65" s="562" t="s">
        <v>53</v>
      </c>
      <c r="C65" s="10">
        <v>6500</v>
      </c>
      <c r="D65" s="628">
        <f t="shared" si="12"/>
        <v>0.25</v>
      </c>
      <c r="E65" s="7">
        <v>7</v>
      </c>
      <c r="F65" s="577">
        <f t="shared" si="20"/>
        <v>1.75</v>
      </c>
      <c r="G65" s="567"/>
      <c r="H65" s="22">
        <v>14</v>
      </c>
      <c r="I65" s="1059">
        <f>D65</f>
        <v>0.25</v>
      </c>
      <c r="J65" s="541">
        <f t="shared" si="21"/>
        <v>0.25</v>
      </c>
      <c r="K65" s="541">
        <f t="shared" si="23"/>
        <v>0.25</v>
      </c>
      <c r="L65" s="541">
        <f t="shared" si="23"/>
        <v>0.25</v>
      </c>
      <c r="M65" s="541">
        <f aca="true" t="shared" si="24" ref="M65:N67">L65</f>
        <v>0.25</v>
      </c>
      <c r="N65" s="541">
        <f t="shared" si="24"/>
        <v>0.25</v>
      </c>
      <c r="O65" s="541">
        <f>L65</f>
        <v>0.25</v>
      </c>
      <c r="P65" s="525">
        <f t="shared" si="19"/>
        <v>1.75</v>
      </c>
    </row>
    <row r="66" spans="1:16" ht="12.75" customHeight="1">
      <c r="A66" s="10">
        <v>17</v>
      </c>
      <c r="B66" s="562" t="s">
        <v>77</v>
      </c>
      <c r="C66" s="10">
        <v>15000</v>
      </c>
      <c r="D66" s="628">
        <f t="shared" si="12"/>
        <v>0.5769230769230769</v>
      </c>
      <c r="E66" s="7">
        <v>7</v>
      </c>
      <c r="F66" s="577">
        <f t="shared" si="20"/>
        <v>4.038461538461538</v>
      </c>
      <c r="G66" s="567"/>
      <c r="H66" s="22"/>
      <c r="I66" s="1059">
        <f>D66</f>
        <v>0.5769230769230769</v>
      </c>
      <c r="J66" s="541">
        <f t="shared" si="21"/>
        <v>0.5769230769230769</v>
      </c>
      <c r="K66" s="541">
        <f t="shared" si="23"/>
        <v>0.5769230769230769</v>
      </c>
      <c r="L66" s="541">
        <f t="shared" si="23"/>
        <v>0.5769230769230769</v>
      </c>
      <c r="M66" s="541">
        <f t="shared" si="24"/>
        <v>0.5769230769230769</v>
      </c>
      <c r="N66" s="541">
        <f t="shared" si="24"/>
        <v>0.5769230769230769</v>
      </c>
      <c r="O66" s="541">
        <f>L66</f>
        <v>0.5769230769230769</v>
      </c>
      <c r="P66" s="525">
        <f t="shared" si="19"/>
        <v>4.038461538461537</v>
      </c>
    </row>
    <row r="67" spans="1:16" ht="12.75" customHeight="1">
      <c r="A67" s="10">
        <v>18</v>
      </c>
      <c r="B67" s="562" t="s">
        <v>457</v>
      </c>
      <c r="C67" s="10">
        <v>25000</v>
      </c>
      <c r="D67" s="628">
        <f t="shared" si="12"/>
        <v>0.9615384615384616</v>
      </c>
      <c r="E67" s="7">
        <v>6</v>
      </c>
      <c r="F67" s="577">
        <f t="shared" si="20"/>
        <v>5.769230769230769</v>
      </c>
      <c r="G67" s="567"/>
      <c r="H67" s="22"/>
      <c r="I67" s="1059"/>
      <c r="J67" s="541">
        <f t="shared" si="21"/>
        <v>0.9615384615384616</v>
      </c>
      <c r="K67" s="541">
        <f>J67</f>
        <v>0.9615384615384616</v>
      </c>
      <c r="L67" s="541">
        <f>K67</f>
        <v>0.9615384615384616</v>
      </c>
      <c r="M67" s="541">
        <f t="shared" si="24"/>
        <v>0.9615384615384616</v>
      </c>
      <c r="N67" s="541">
        <f t="shared" si="24"/>
        <v>0.9615384615384616</v>
      </c>
      <c r="O67" s="541">
        <f>N67</f>
        <v>0.9615384615384616</v>
      </c>
      <c r="P67" s="525">
        <f t="shared" si="19"/>
        <v>5.769230769230769</v>
      </c>
    </row>
    <row r="68" spans="1:16" ht="12.75" customHeight="1">
      <c r="A68" s="10">
        <v>19</v>
      </c>
      <c r="B68" s="562" t="s">
        <v>66</v>
      </c>
      <c r="C68" s="10"/>
      <c r="D68" s="629"/>
      <c r="E68" s="534"/>
      <c r="F68" s="577"/>
      <c r="G68" s="567"/>
      <c r="H68" s="22">
        <v>15</v>
      </c>
      <c r="I68" s="22"/>
      <c r="J68" s="541"/>
      <c r="K68" s="541"/>
      <c r="L68" s="541"/>
      <c r="M68" s="541"/>
      <c r="N68" s="541"/>
      <c r="O68" s="541"/>
      <c r="P68" s="525">
        <f>SUM(J68:O68)</f>
        <v>0</v>
      </c>
    </row>
    <row r="69" spans="1:16" ht="12.75" customHeight="1">
      <c r="A69" s="10">
        <v>20</v>
      </c>
      <c r="B69" s="562" t="s">
        <v>33</v>
      </c>
      <c r="C69" s="10">
        <f>800*26</f>
        <v>20800</v>
      </c>
      <c r="D69" s="629">
        <f>C69/26/1000</f>
        <v>0.8</v>
      </c>
      <c r="E69" s="7">
        <v>2</v>
      </c>
      <c r="F69" s="577">
        <f>D69*E69</f>
        <v>1.6</v>
      </c>
      <c r="G69" s="567"/>
      <c r="H69" s="22">
        <v>16</v>
      </c>
      <c r="I69" s="22"/>
      <c r="J69" s="541"/>
      <c r="K69" s="541"/>
      <c r="L69" s="541"/>
      <c r="M69" s="541"/>
      <c r="N69" s="541">
        <f>D69</f>
        <v>0.8</v>
      </c>
      <c r="O69" s="541">
        <f>N69</f>
        <v>0.8</v>
      </c>
      <c r="P69" s="525">
        <f>SUM(J69:O69)</f>
        <v>1.6</v>
      </c>
    </row>
    <row r="70" spans="2:16" ht="12.75" customHeight="1">
      <c r="B70" s="524" t="s">
        <v>2</v>
      </c>
      <c r="F70" s="581">
        <f>SUM(F49:F69)</f>
        <v>77.22115384615384</v>
      </c>
      <c r="P70" s="527">
        <f>SUM(P49:P69)</f>
        <v>73.73638461538461</v>
      </c>
    </row>
    <row r="71" spans="2:16" ht="12.75" customHeight="1">
      <c r="B71" s="524" t="s">
        <v>3</v>
      </c>
      <c r="E71" s="955">
        <v>0.1</v>
      </c>
      <c r="F71" s="581">
        <f>E71*F70</f>
        <v>7.7221153846153845</v>
      </c>
      <c r="I71" s="526">
        <f>SUM(I49:I70)*10%</f>
        <v>0.8274384615384616</v>
      </c>
      <c r="J71" s="526">
        <f aca="true" t="shared" si="25" ref="J71:O71">SUM(J49:J70)*10%</f>
        <v>1.1224461538461539</v>
      </c>
      <c r="K71" s="526">
        <f t="shared" si="25"/>
        <v>1.1224461538461539</v>
      </c>
      <c r="L71" s="526">
        <f t="shared" si="25"/>
        <v>1.1224461538461539</v>
      </c>
      <c r="M71" s="526">
        <f t="shared" si="25"/>
        <v>1.1224461538461539</v>
      </c>
      <c r="N71" s="526">
        <f t="shared" si="25"/>
        <v>1.202446153846154</v>
      </c>
      <c r="O71" s="526">
        <f t="shared" si="25"/>
        <v>1.202446153846154</v>
      </c>
      <c r="P71" s="573">
        <f>SUM(I71:O71)</f>
        <v>7.7221153846153845</v>
      </c>
    </row>
    <row r="72" spans="2:9" ht="12.75" customHeight="1">
      <c r="B72" s="524" t="s">
        <v>2</v>
      </c>
      <c r="E72" s="955"/>
      <c r="F72" s="581">
        <f>F70+F71</f>
        <v>84.94326923076922</v>
      </c>
      <c r="I72" s="526"/>
    </row>
    <row r="73" spans="1:16" ht="12.75" customHeight="1">
      <c r="A73" s="11"/>
      <c r="B73" s="568" t="s">
        <v>12</v>
      </c>
      <c r="C73" s="11"/>
      <c r="D73" s="627"/>
      <c r="E73" s="15">
        <v>0.18</v>
      </c>
      <c r="F73" s="581">
        <f>F72*E73</f>
        <v>15.289788461538459</v>
      </c>
      <c r="G73" s="567"/>
      <c r="I73" s="526">
        <f aca="true" t="shared" si="26" ref="I73:O73">(SUM(I49:I69)+I71)*0.18</f>
        <v>1.6383281538461538</v>
      </c>
      <c r="J73" s="526">
        <f t="shared" si="26"/>
        <v>2.2224433846153846</v>
      </c>
      <c r="K73" s="526">
        <f t="shared" si="26"/>
        <v>2.2224433846153846</v>
      </c>
      <c r="L73" s="526">
        <f t="shared" si="26"/>
        <v>2.2224433846153846</v>
      </c>
      <c r="M73" s="526">
        <f t="shared" si="26"/>
        <v>2.2224433846153846</v>
      </c>
      <c r="N73" s="526">
        <f t="shared" si="26"/>
        <v>2.3808433846153845</v>
      </c>
      <c r="O73" s="526">
        <f t="shared" si="26"/>
        <v>2.3808433846153845</v>
      </c>
      <c r="P73" s="525">
        <f>SUM(I73:O73)</f>
        <v>15.289788461538464</v>
      </c>
    </row>
    <row r="74" spans="2:16" ht="12.75" customHeight="1">
      <c r="B74" s="582" t="s">
        <v>2</v>
      </c>
      <c r="C74" s="611"/>
      <c r="D74" s="626"/>
      <c r="F74" s="572">
        <f>F73+F72</f>
        <v>100.23305769230768</v>
      </c>
      <c r="G74" s="529"/>
      <c r="I74" s="617">
        <f aca="true" t="shared" si="27" ref="I74:O74">SUM(I49:I73)</f>
        <v>10.74015123076923</v>
      </c>
      <c r="J74" s="617">
        <f t="shared" si="27"/>
        <v>14.569351076923077</v>
      </c>
      <c r="K74" s="617">
        <f t="shared" si="27"/>
        <v>14.569351076923077</v>
      </c>
      <c r="L74" s="617">
        <f t="shared" si="27"/>
        <v>14.569351076923077</v>
      </c>
      <c r="M74" s="617">
        <f t="shared" si="27"/>
        <v>14.569351076923077</v>
      </c>
      <c r="N74" s="617">
        <f t="shared" si="27"/>
        <v>15.607751076923076</v>
      </c>
      <c r="O74" s="617">
        <f t="shared" si="27"/>
        <v>15.607751076923076</v>
      </c>
      <c r="P74" s="529">
        <f>SUM(I74:O74)</f>
        <v>100.2330576923077</v>
      </c>
    </row>
    <row r="75" spans="2:16" ht="12.75" customHeight="1">
      <c r="B75" s="582"/>
      <c r="C75" s="611"/>
      <c r="D75" s="956"/>
      <c r="F75" s="527"/>
      <c r="G75" s="529"/>
      <c r="J75" s="553"/>
      <c r="K75" s="553"/>
      <c r="L75" s="553"/>
      <c r="M75" s="553"/>
      <c r="N75" s="553"/>
      <c r="O75" s="553"/>
      <c r="P75" s="525"/>
    </row>
    <row r="76" spans="2:16" ht="18.75" customHeight="1" thickBot="1">
      <c r="B76" s="636" t="s">
        <v>373</v>
      </c>
      <c r="P76" s="525"/>
    </row>
    <row r="77" spans="1:16" s="527" customFormat="1" ht="12.75" customHeight="1" thickBot="1">
      <c r="A77" s="951" t="s">
        <v>4</v>
      </c>
      <c r="B77" s="531" t="s">
        <v>5</v>
      </c>
      <c r="C77" s="610" t="s">
        <v>52</v>
      </c>
      <c r="D77" s="555" t="s">
        <v>363</v>
      </c>
      <c r="E77" s="532" t="s">
        <v>27</v>
      </c>
      <c r="F77" s="533" t="s">
        <v>49</v>
      </c>
      <c r="G77" s="529"/>
      <c r="H77" s="21" t="s">
        <v>4</v>
      </c>
      <c r="I77" s="945">
        <v>1</v>
      </c>
      <c r="J77" s="945">
        <v>2</v>
      </c>
      <c r="K77" s="945">
        <v>3</v>
      </c>
      <c r="L77" s="945">
        <v>4</v>
      </c>
      <c r="M77" s="945">
        <v>5</v>
      </c>
      <c r="N77" s="945">
        <v>6</v>
      </c>
      <c r="O77" s="21">
        <v>7</v>
      </c>
      <c r="P77" s="525"/>
    </row>
    <row r="78" spans="1:16" ht="12.75" customHeight="1">
      <c r="A78" s="10">
        <v>1</v>
      </c>
      <c r="B78" s="562" t="s">
        <v>89</v>
      </c>
      <c r="C78" s="10">
        <v>30000</v>
      </c>
      <c r="D78" s="629">
        <f>C78/26/1000</f>
        <v>1.1538461538461537</v>
      </c>
      <c r="E78" s="10">
        <v>1</v>
      </c>
      <c r="F78" s="583">
        <f>D78*E78</f>
        <v>1.1538461538461537</v>
      </c>
      <c r="G78" s="561"/>
      <c r="H78" s="20">
        <v>1</v>
      </c>
      <c r="I78" s="957"/>
      <c r="J78" s="541"/>
      <c r="K78" s="541"/>
      <c r="L78" s="948">
        <f>F78</f>
        <v>1.1538461538461537</v>
      </c>
      <c r="M78" s="541"/>
      <c r="O78" s="541"/>
      <c r="P78" s="523">
        <f aca="true" t="shared" si="28" ref="P78:P90">SUM(L78:O78)</f>
        <v>1.1538461538461537</v>
      </c>
    </row>
    <row r="79" spans="1:16" ht="12.75" customHeight="1">
      <c r="A79" s="10">
        <v>2</v>
      </c>
      <c r="B79" s="562" t="s">
        <v>90</v>
      </c>
      <c r="C79" s="10">
        <v>10000</v>
      </c>
      <c r="D79" s="629">
        <f aca="true" t="shared" si="29" ref="D79:D87">C79/26/1000</f>
        <v>0.38461538461538464</v>
      </c>
      <c r="E79" s="10">
        <v>1</v>
      </c>
      <c r="F79" s="583">
        <f aca="true" t="shared" si="30" ref="F79:F87">D79*E79</f>
        <v>0.38461538461538464</v>
      </c>
      <c r="G79" s="561"/>
      <c r="H79" s="20">
        <v>2</v>
      </c>
      <c r="I79" s="957"/>
      <c r="J79" s="541"/>
      <c r="K79" s="541"/>
      <c r="L79" s="948"/>
      <c r="M79" s="540">
        <f aca="true" t="shared" si="31" ref="M79:M85">F79</f>
        <v>0.38461538461538464</v>
      </c>
      <c r="N79" s="541"/>
      <c r="O79" s="541"/>
      <c r="P79" s="523">
        <f t="shared" si="28"/>
        <v>0.38461538461538464</v>
      </c>
    </row>
    <row r="80" spans="1:16" ht="12.75" customHeight="1">
      <c r="A80" s="10">
        <v>3</v>
      </c>
      <c r="B80" s="562" t="s">
        <v>91</v>
      </c>
      <c r="C80" s="10">
        <v>5000</v>
      </c>
      <c r="D80" s="629">
        <f t="shared" si="29"/>
        <v>0.19230769230769232</v>
      </c>
      <c r="E80" s="10">
        <v>1</v>
      </c>
      <c r="F80" s="583">
        <f t="shared" si="30"/>
        <v>0.19230769230769232</v>
      </c>
      <c r="G80" s="561"/>
      <c r="H80" s="20">
        <v>3</v>
      </c>
      <c r="I80" s="957"/>
      <c r="J80" s="541"/>
      <c r="K80" s="541"/>
      <c r="L80" s="948"/>
      <c r="M80" s="540">
        <f t="shared" si="31"/>
        <v>0.19230769230769232</v>
      </c>
      <c r="N80" s="541"/>
      <c r="O80" s="541"/>
      <c r="P80" s="523">
        <f t="shared" si="28"/>
        <v>0.19230769230769232</v>
      </c>
    </row>
    <row r="81" spans="1:16" ht="12.75" customHeight="1">
      <c r="A81" s="10">
        <v>4</v>
      </c>
      <c r="B81" s="562" t="s">
        <v>67</v>
      </c>
      <c r="C81" s="10">
        <v>18000</v>
      </c>
      <c r="D81" s="629">
        <f t="shared" si="29"/>
        <v>0.6923076923076923</v>
      </c>
      <c r="E81" s="7">
        <v>1</v>
      </c>
      <c r="F81" s="583">
        <f t="shared" si="30"/>
        <v>0.6923076923076923</v>
      </c>
      <c r="G81" s="567"/>
      <c r="H81" s="20">
        <v>4</v>
      </c>
      <c r="I81" s="957"/>
      <c r="J81" s="541"/>
      <c r="K81" s="541"/>
      <c r="L81" s="948"/>
      <c r="M81" s="541">
        <f t="shared" si="31"/>
        <v>0.6923076923076923</v>
      </c>
      <c r="N81" s="541"/>
      <c r="O81" s="541"/>
      <c r="P81" s="523">
        <f t="shared" si="28"/>
        <v>0.6923076923076923</v>
      </c>
    </row>
    <row r="82" spans="1:16" ht="12.75" customHeight="1">
      <c r="A82" s="10">
        <v>5</v>
      </c>
      <c r="B82" s="562" t="s">
        <v>92</v>
      </c>
      <c r="C82" s="10">
        <v>6500</v>
      </c>
      <c r="D82" s="629">
        <f t="shared" si="29"/>
        <v>0.25</v>
      </c>
      <c r="E82" s="7">
        <v>1</v>
      </c>
      <c r="F82" s="583">
        <f t="shared" si="30"/>
        <v>0.25</v>
      </c>
      <c r="G82" s="567"/>
      <c r="H82" s="20">
        <v>5</v>
      </c>
      <c r="I82" s="957"/>
      <c r="J82" s="541"/>
      <c r="K82" s="541"/>
      <c r="L82" s="948"/>
      <c r="M82" s="541">
        <f t="shared" si="31"/>
        <v>0.25</v>
      </c>
      <c r="N82" s="541"/>
      <c r="O82" s="541"/>
      <c r="P82" s="523">
        <f t="shared" si="28"/>
        <v>0.25</v>
      </c>
    </row>
    <row r="83" spans="1:16" ht="12.75" customHeight="1">
      <c r="A83" s="10">
        <v>6</v>
      </c>
      <c r="B83" s="562" t="s">
        <v>86</v>
      </c>
      <c r="C83" s="10">
        <v>8000</v>
      </c>
      <c r="D83" s="629">
        <f t="shared" si="29"/>
        <v>0.30769230769230765</v>
      </c>
      <c r="E83" s="7">
        <v>1</v>
      </c>
      <c r="F83" s="583">
        <f t="shared" si="30"/>
        <v>0.30769230769230765</v>
      </c>
      <c r="G83" s="567"/>
      <c r="H83" s="20">
        <v>6</v>
      </c>
      <c r="I83" s="957"/>
      <c r="J83" s="541"/>
      <c r="K83" s="541"/>
      <c r="L83" s="948"/>
      <c r="M83" s="541">
        <f t="shared" si="31"/>
        <v>0.30769230769230765</v>
      </c>
      <c r="N83" s="541"/>
      <c r="O83" s="541"/>
      <c r="P83" s="523">
        <f t="shared" si="28"/>
        <v>0.30769230769230765</v>
      </c>
    </row>
    <row r="84" spans="1:16" ht="12.75" customHeight="1">
      <c r="A84" s="10">
        <v>7</v>
      </c>
      <c r="B84" s="562" t="s">
        <v>87</v>
      </c>
      <c r="C84" s="10">
        <v>7500</v>
      </c>
      <c r="D84" s="629">
        <f t="shared" si="29"/>
        <v>0.28846153846153844</v>
      </c>
      <c r="E84" s="7">
        <v>1</v>
      </c>
      <c r="F84" s="583">
        <f t="shared" si="30"/>
        <v>0.28846153846153844</v>
      </c>
      <c r="G84" s="567"/>
      <c r="H84" s="20">
        <v>7</v>
      </c>
      <c r="I84" s="957"/>
      <c r="J84" s="541"/>
      <c r="K84" s="541"/>
      <c r="L84" s="948"/>
      <c r="M84" s="541">
        <f t="shared" si="31"/>
        <v>0.28846153846153844</v>
      </c>
      <c r="N84" s="541"/>
      <c r="O84" s="541"/>
      <c r="P84" s="523">
        <f t="shared" si="28"/>
        <v>0.28846153846153844</v>
      </c>
    </row>
    <row r="85" spans="1:16" ht="12.75" customHeight="1">
      <c r="A85" s="10">
        <v>8</v>
      </c>
      <c r="B85" s="562" t="s">
        <v>88</v>
      </c>
      <c r="C85" s="10">
        <v>11000</v>
      </c>
      <c r="D85" s="629">
        <f t="shared" si="29"/>
        <v>0.4230769230769231</v>
      </c>
      <c r="E85" s="7">
        <v>1</v>
      </c>
      <c r="F85" s="583">
        <f t="shared" si="30"/>
        <v>0.4230769230769231</v>
      </c>
      <c r="G85" s="567"/>
      <c r="H85" s="20">
        <v>8</v>
      </c>
      <c r="I85" s="957"/>
      <c r="J85" s="541"/>
      <c r="K85" s="541"/>
      <c r="L85" s="948"/>
      <c r="M85" s="541">
        <f t="shared" si="31"/>
        <v>0.4230769230769231</v>
      </c>
      <c r="N85" s="541"/>
      <c r="O85" s="541"/>
      <c r="P85" s="523">
        <f t="shared" si="28"/>
        <v>0.4230769230769231</v>
      </c>
    </row>
    <row r="86" spans="1:16" ht="12.75" customHeight="1">
      <c r="A86" s="10">
        <v>9</v>
      </c>
      <c r="B86" s="562" t="s">
        <v>75</v>
      </c>
      <c r="C86" s="10">
        <v>15000</v>
      </c>
      <c r="D86" s="629">
        <f t="shared" si="29"/>
        <v>0.5769230769230769</v>
      </c>
      <c r="E86" s="7">
        <v>4</v>
      </c>
      <c r="F86" s="583">
        <f t="shared" si="30"/>
        <v>2.3076923076923075</v>
      </c>
      <c r="G86" s="567"/>
      <c r="H86" s="20">
        <v>9</v>
      </c>
      <c r="I86" s="957"/>
      <c r="J86" s="541"/>
      <c r="K86" s="541"/>
      <c r="L86" s="948">
        <f>D86</f>
        <v>0.5769230769230769</v>
      </c>
      <c r="M86" s="541">
        <f>L86</f>
        <v>0.5769230769230769</v>
      </c>
      <c r="N86" s="541">
        <f>M86</f>
        <v>0.5769230769230769</v>
      </c>
      <c r="O86" s="541">
        <f>N86</f>
        <v>0.5769230769230769</v>
      </c>
      <c r="P86" s="523">
        <f t="shared" si="28"/>
        <v>2.3076923076923075</v>
      </c>
    </row>
    <row r="87" spans="1:16" ht="12.75" customHeight="1">
      <c r="A87" s="10">
        <v>10</v>
      </c>
      <c r="B87" s="562" t="s">
        <v>76</v>
      </c>
      <c r="C87" s="10">
        <v>9000</v>
      </c>
      <c r="D87" s="629">
        <f t="shared" si="29"/>
        <v>0.34615384615384615</v>
      </c>
      <c r="E87" s="7">
        <v>1</v>
      </c>
      <c r="F87" s="583">
        <f t="shared" si="30"/>
        <v>0.34615384615384615</v>
      </c>
      <c r="G87" s="567"/>
      <c r="H87" s="20">
        <v>10</v>
      </c>
      <c r="I87" s="957"/>
      <c r="J87" s="541"/>
      <c r="K87" s="541"/>
      <c r="L87" s="948"/>
      <c r="M87" s="541"/>
      <c r="N87" s="541"/>
      <c r="O87" s="541">
        <f>F87</f>
        <v>0.34615384615384615</v>
      </c>
      <c r="P87" s="523">
        <f t="shared" si="28"/>
        <v>0.34615384615384615</v>
      </c>
    </row>
    <row r="88" spans="1:16" ht="12.75" customHeight="1">
      <c r="A88" s="11"/>
      <c r="B88" s="568" t="s">
        <v>32</v>
      </c>
      <c r="C88" s="11"/>
      <c r="D88" s="627"/>
      <c r="E88" s="15">
        <v>0.3</v>
      </c>
      <c r="F88" s="567">
        <f>SUM(F78:F87)*E88</f>
        <v>1.9038461538461533</v>
      </c>
      <c r="G88" s="567"/>
      <c r="H88" s="27"/>
      <c r="I88" s="27"/>
      <c r="L88" s="584">
        <f>SUM(L78:L87)*30%</f>
        <v>0.5192307692307692</v>
      </c>
      <c r="M88" s="584">
        <f>SUM(M78:M87)*30%</f>
        <v>0.9346153846153844</v>
      </c>
      <c r="N88" s="584">
        <f>SUM(N78:N87)*30%</f>
        <v>0.17307692307692304</v>
      </c>
      <c r="O88" s="584">
        <f>SUM(O78:O87)*30%</f>
        <v>0.2769230769230769</v>
      </c>
      <c r="P88" s="525">
        <f t="shared" si="28"/>
        <v>1.9038461538461535</v>
      </c>
    </row>
    <row r="89" spans="1:16" ht="12.75" customHeight="1">
      <c r="A89" s="11"/>
      <c r="B89" s="568" t="s">
        <v>12</v>
      </c>
      <c r="C89" s="11"/>
      <c r="D89" s="627"/>
      <c r="E89" s="15">
        <v>0.18</v>
      </c>
      <c r="F89" s="567">
        <f>SUM(F78:F88)*18%</f>
        <v>1.4849999999999997</v>
      </c>
      <c r="G89" s="567"/>
      <c r="L89" s="581">
        <f>SUM(L78:L88)*18%</f>
        <v>0.40499999999999997</v>
      </c>
      <c r="M89" s="581">
        <f>SUM(M78:M88)*18%</f>
        <v>0.7289999999999998</v>
      </c>
      <c r="N89" s="581">
        <f>SUM(N78:N88)*18%</f>
        <v>0.13499999999999998</v>
      </c>
      <c r="O89" s="581">
        <f>SUM(O78:O88)*18%</f>
        <v>0.216</v>
      </c>
      <c r="P89" s="525">
        <f t="shared" si="28"/>
        <v>1.4849999999999997</v>
      </c>
    </row>
    <row r="90" spans="1:16" s="550" customFormat="1" ht="12.75" customHeight="1">
      <c r="A90" s="16"/>
      <c r="B90" s="585" t="s">
        <v>2</v>
      </c>
      <c r="C90" s="611"/>
      <c r="D90" s="626"/>
      <c r="F90" s="586">
        <f>SUM(F78:F89)</f>
        <v>9.734999999999998</v>
      </c>
      <c r="G90" s="587"/>
      <c r="H90" s="605"/>
      <c r="I90" s="605"/>
      <c r="L90" s="617">
        <f>SUM(L78:L89)</f>
        <v>2.655</v>
      </c>
      <c r="M90" s="617">
        <f>SUM(M78:M89)</f>
        <v>4.778999999999999</v>
      </c>
      <c r="N90" s="617">
        <f>SUM(N78:N89)</f>
        <v>0.8849999999999999</v>
      </c>
      <c r="O90" s="617">
        <f>SUM(O78:O89)</f>
        <v>1.416</v>
      </c>
      <c r="P90" s="529">
        <f t="shared" si="28"/>
        <v>9.735</v>
      </c>
    </row>
    <row r="91" spans="1:16" s="550" customFormat="1" ht="12.75" customHeight="1">
      <c r="A91" s="16"/>
      <c r="B91" s="585"/>
      <c r="C91" s="611"/>
      <c r="D91" s="626"/>
      <c r="F91" s="586"/>
      <c r="G91" s="587"/>
      <c r="H91" s="605"/>
      <c r="I91" s="605"/>
      <c r="J91" s="619"/>
      <c r="K91" s="619"/>
      <c r="L91" s="619"/>
      <c r="M91" s="619"/>
      <c r="N91" s="619"/>
      <c r="O91" s="619"/>
      <c r="P91" s="529"/>
    </row>
    <row r="92" spans="1:16" s="550" customFormat="1" ht="18" customHeight="1" thickBot="1">
      <c r="A92" s="16"/>
      <c r="B92" s="1333" t="s">
        <v>78</v>
      </c>
      <c r="C92" s="1334"/>
      <c r="D92" s="622"/>
      <c r="F92" s="588"/>
      <c r="G92" s="587"/>
      <c r="H92" s="605"/>
      <c r="I92" s="605"/>
      <c r="J92" s="589"/>
      <c r="K92" s="589"/>
      <c r="L92" s="589"/>
      <c r="M92" s="589"/>
      <c r="N92" s="589"/>
      <c r="O92" s="589"/>
      <c r="P92" s="525"/>
    </row>
    <row r="93" spans="1:16" s="527" customFormat="1" ht="12.75" customHeight="1" thickBot="1">
      <c r="A93" s="951" t="s">
        <v>4</v>
      </c>
      <c r="B93" s="531" t="s">
        <v>5</v>
      </c>
      <c r="C93" s="610" t="s">
        <v>52</v>
      </c>
      <c r="D93" s="555" t="s">
        <v>363</v>
      </c>
      <c r="E93" s="532" t="s">
        <v>27</v>
      </c>
      <c r="F93" s="533" t="s">
        <v>49</v>
      </c>
      <c r="G93" s="529"/>
      <c r="H93" s="21" t="s">
        <v>4</v>
      </c>
      <c r="I93" s="945">
        <v>1</v>
      </c>
      <c r="J93" s="945">
        <v>2</v>
      </c>
      <c r="K93" s="945">
        <v>3</v>
      </c>
      <c r="L93" s="945">
        <v>4</v>
      </c>
      <c r="M93" s="945">
        <v>5</v>
      </c>
      <c r="N93" s="21">
        <v>6</v>
      </c>
      <c r="O93" s="21">
        <v>7</v>
      </c>
      <c r="P93" s="525"/>
    </row>
    <row r="94" spans="1:16" ht="12.75" customHeight="1">
      <c r="A94" s="10">
        <v>1</v>
      </c>
      <c r="B94" s="562" t="s">
        <v>78</v>
      </c>
      <c r="C94" s="10">
        <v>15000</v>
      </c>
      <c r="D94" s="629">
        <f aca="true" t="shared" si="32" ref="D94:D99">C94/26/1000</f>
        <v>0.5769230769230769</v>
      </c>
      <c r="E94" s="7">
        <v>1</v>
      </c>
      <c r="F94" s="576">
        <f aca="true" t="shared" si="33" ref="F94:F99">D94*E94</f>
        <v>0.5769230769230769</v>
      </c>
      <c r="G94" s="567"/>
      <c r="H94" s="23">
        <v>1</v>
      </c>
      <c r="I94" s="23"/>
      <c r="J94" s="541"/>
      <c r="K94" s="541"/>
      <c r="L94" s="541"/>
      <c r="M94" s="538"/>
      <c r="N94" s="538"/>
      <c r="O94" s="541">
        <f aca="true" t="shared" si="34" ref="O94:O100">F94</f>
        <v>0.5769230769230769</v>
      </c>
      <c r="P94" s="525">
        <f aca="true" t="shared" si="35" ref="P94:P100">SUM(J94:O94)</f>
        <v>0.5769230769230769</v>
      </c>
    </row>
    <row r="95" spans="1:16" ht="12.75" customHeight="1">
      <c r="A95" s="10">
        <v>2</v>
      </c>
      <c r="B95" s="562" t="s">
        <v>74</v>
      </c>
      <c r="C95" s="10">
        <v>25000</v>
      </c>
      <c r="D95" s="629">
        <f t="shared" si="32"/>
        <v>0.9615384615384616</v>
      </c>
      <c r="E95" s="7">
        <v>1</v>
      </c>
      <c r="F95" s="576">
        <f t="shared" si="33"/>
        <v>0.9615384615384616</v>
      </c>
      <c r="G95" s="567"/>
      <c r="H95" s="23">
        <v>2</v>
      </c>
      <c r="I95" s="23"/>
      <c r="J95" s="541"/>
      <c r="K95" s="541"/>
      <c r="L95" s="541"/>
      <c r="M95" s="541"/>
      <c r="N95" s="541"/>
      <c r="O95" s="541">
        <f t="shared" si="34"/>
        <v>0.9615384615384616</v>
      </c>
      <c r="P95" s="525">
        <f t="shared" si="35"/>
        <v>0.9615384615384616</v>
      </c>
    </row>
    <row r="96" spans="1:16" ht="12.75" customHeight="1">
      <c r="A96" s="10">
        <v>3</v>
      </c>
      <c r="B96" s="562" t="s">
        <v>73</v>
      </c>
      <c r="C96" s="10">
        <v>26800</v>
      </c>
      <c r="D96" s="629">
        <f t="shared" si="32"/>
        <v>1.0307692307692307</v>
      </c>
      <c r="E96" s="7">
        <v>1</v>
      </c>
      <c r="F96" s="576">
        <f t="shared" si="33"/>
        <v>1.0307692307692307</v>
      </c>
      <c r="G96" s="567"/>
      <c r="H96" s="23">
        <v>3</v>
      </c>
      <c r="I96" s="23"/>
      <c r="J96" s="541"/>
      <c r="K96" s="541"/>
      <c r="L96" s="541"/>
      <c r="M96" s="541"/>
      <c r="N96" s="541"/>
      <c r="O96" s="541">
        <f t="shared" si="34"/>
        <v>1.0307692307692307</v>
      </c>
      <c r="P96" s="525">
        <f t="shared" si="35"/>
        <v>1.0307692307692307</v>
      </c>
    </row>
    <row r="97" spans="1:16" ht="12.75" customHeight="1">
      <c r="A97" s="10">
        <v>4</v>
      </c>
      <c r="B97" s="562" t="s">
        <v>72</v>
      </c>
      <c r="C97" s="10">
        <v>45000</v>
      </c>
      <c r="D97" s="629">
        <f t="shared" si="32"/>
        <v>1.7307692307692306</v>
      </c>
      <c r="E97" s="7">
        <v>1</v>
      </c>
      <c r="F97" s="576">
        <f t="shared" si="33"/>
        <v>1.7307692307692306</v>
      </c>
      <c r="G97" s="567"/>
      <c r="H97" s="23">
        <v>4</v>
      </c>
      <c r="I97" s="23"/>
      <c r="J97" s="541"/>
      <c r="K97" s="541"/>
      <c r="L97" s="541"/>
      <c r="M97" s="541"/>
      <c r="N97" s="541"/>
      <c r="O97" s="541">
        <f t="shared" si="34"/>
        <v>1.7307692307692306</v>
      </c>
      <c r="P97" s="525">
        <f t="shared" si="35"/>
        <v>1.7307692307692306</v>
      </c>
    </row>
    <row r="98" spans="1:16" ht="12.75" customHeight="1">
      <c r="A98" s="10">
        <v>5</v>
      </c>
      <c r="B98" s="562" t="s">
        <v>463</v>
      </c>
      <c r="C98" s="10">
        <v>45000</v>
      </c>
      <c r="D98" s="629">
        <f t="shared" si="32"/>
        <v>1.7307692307692306</v>
      </c>
      <c r="E98" s="7">
        <v>1</v>
      </c>
      <c r="F98" s="576">
        <f t="shared" si="33"/>
        <v>1.7307692307692306</v>
      </c>
      <c r="G98" s="567"/>
      <c r="H98" s="23">
        <v>5</v>
      </c>
      <c r="I98" s="23"/>
      <c r="J98" s="541"/>
      <c r="K98" s="541"/>
      <c r="L98" s="541"/>
      <c r="M98" s="541"/>
      <c r="N98" s="541"/>
      <c r="O98" s="541">
        <f t="shared" si="34"/>
        <v>1.7307692307692306</v>
      </c>
      <c r="P98" s="525">
        <f t="shared" si="35"/>
        <v>1.7307692307692306</v>
      </c>
    </row>
    <row r="99" spans="1:16" ht="12.75" customHeight="1">
      <c r="A99" s="10">
        <v>6</v>
      </c>
      <c r="B99" s="562" t="s">
        <v>71</v>
      </c>
      <c r="C99" s="10">
        <v>50000</v>
      </c>
      <c r="D99" s="629">
        <f t="shared" si="32"/>
        <v>1.9230769230769231</v>
      </c>
      <c r="E99" s="7">
        <v>1</v>
      </c>
      <c r="F99" s="576">
        <f t="shared" si="33"/>
        <v>1.9230769230769231</v>
      </c>
      <c r="G99" s="567"/>
      <c r="H99" s="23">
        <v>6</v>
      </c>
      <c r="I99" s="22"/>
      <c r="J99" s="541"/>
      <c r="K99" s="541"/>
      <c r="L99" s="541"/>
      <c r="M99" s="541"/>
      <c r="N99" s="541"/>
      <c r="O99" s="541">
        <f t="shared" si="34"/>
        <v>1.9230769230769231</v>
      </c>
      <c r="P99" s="525">
        <f t="shared" si="35"/>
        <v>1.9230769230769231</v>
      </c>
    </row>
    <row r="100" spans="1:16" ht="12.75" customHeight="1">
      <c r="A100" s="11"/>
      <c r="B100" s="568" t="s">
        <v>32</v>
      </c>
      <c r="C100" s="11"/>
      <c r="D100" s="627"/>
      <c r="E100" s="15">
        <v>0.1</v>
      </c>
      <c r="F100" s="567">
        <f>SUM(F94:F99)*E100</f>
        <v>0.7953846153846155</v>
      </c>
      <c r="G100" s="567"/>
      <c r="H100" s="27"/>
      <c r="I100" s="27"/>
      <c r="J100" s="543"/>
      <c r="K100" s="543"/>
      <c r="L100" s="590"/>
      <c r="N100" s="590"/>
      <c r="O100" s="590">
        <f t="shared" si="34"/>
        <v>0.7953846153846155</v>
      </c>
      <c r="P100" s="525">
        <f t="shared" si="35"/>
        <v>0.7953846153846155</v>
      </c>
    </row>
    <row r="101" spans="1:16" ht="12.75" customHeight="1">
      <c r="A101" s="11"/>
      <c r="B101" s="568" t="s">
        <v>12</v>
      </c>
      <c r="C101" s="11"/>
      <c r="D101" s="627"/>
      <c r="E101" s="15">
        <v>0.18</v>
      </c>
      <c r="F101" s="567">
        <f>SUM(F94:F100)*E101</f>
        <v>1.5748615384615383</v>
      </c>
      <c r="G101" s="567"/>
      <c r="L101" s="591"/>
      <c r="N101" s="591"/>
      <c r="O101" s="591">
        <f>SUM(O94:O100)*0.18</f>
        <v>1.5748615384615383</v>
      </c>
      <c r="P101" s="525">
        <f>SUM(P94:P100)*0.18</f>
        <v>1.5748615384615383</v>
      </c>
    </row>
    <row r="102" spans="1:16" s="550" customFormat="1" ht="12.75" customHeight="1">
      <c r="A102" s="16"/>
      <c r="B102" s="585" t="s">
        <v>2</v>
      </c>
      <c r="C102" s="611"/>
      <c r="D102" s="626"/>
      <c r="F102" s="586">
        <f>SUM(F94:F101)</f>
        <v>10.324092307692307</v>
      </c>
      <c r="G102" s="587"/>
      <c r="H102" s="605"/>
      <c r="I102" s="605"/>
      <c r="J102" s="592"/>
      <c r="K102" s="592"/>
      <c r="L102" s="553"/>
      <c r="N102" s="619"/>
      <c r="O102" s="617">
        <f>SUM(O94:O101)</f>
        <v>10.324092307692307</v>
      </c>
      <c r="P102" s="529">
        <f>SUM(P94:P101)</f>
        <v>10.324092307692307</v>
      </c>
    </row>
    <row r="103" spans="1:16" s="550" customFormat="1" ht="12.75" customHeight="1" thickBot="1">
      <c r="A103" s="16"/>
      <c r="B103" s="585"/>
      <c r="C103" s="611"/>
      <c r="D103" s="626"/>
      <c r="F103" s="586"/>
      <c r="G103" s="587"/>
      <c r="H103" s="605"/>
      <c r="I103" s="605"/>
      <c r="J103" s="592"/>
      <c r="K103" s="592"/>
      <c r="L103" s="553"/>
      <c r="M103" s="619"/>
      <c r="N103" s="619"/>
      <c r="O103" s="619"/>
      <c r="P103" s="529"/>
    </row>
    <row r="104" spans="1:16" s="550" customFormat="1" ht="12.75" customHeight="1" thickBot="1">
      <c r="A104" s="16"/>
      <c r="B104" s="585"/>
      <c r="C104" s="611"/>
      <c r="D104" s="626"/>
      <c r="F104" s="586"/>
      <c r="G104" s="587"/>
      <c r="H104" s="605"/>
      <c r="I104" s="605"/>
      <c r="J104" s="1328" t="s">
        <v>365</v>
      </c>
      <c r="K104" s="1329"/>
      <c r="L104" s="1329"/>
      <c r="M104" s="1330"/>
      <c r="N104" s="943"/>
      <c r="O104" s="943"/>
      <c r="P104" s="529"/>
    </row>
    <row r="105" spans="1:16" s="550" customFormat="1" ht="12.75" customHeight="1" thickBot="1">
      <c r="A105" s="16"/>
      <c r="B105" s="585"/>
      <c r="C105" s="611"/>
      <c r="D105" s="626"/>
      <c r="F105" s="586"/>
      <c r="G105" s="587"/>
      <c r="H105" s="21" t="s">
        <v>4</v>
      </c>
      <c r="I105" s="945">
        <v>1</v>
      </c>
      <c r="J105" s="945">
        <v>2</v>
      </c>
      <c r="K105" s="945">
        <v>3</v>
      </c>
      <c r="L105" s="945">
        <v>4</v>
      </c>
      <c r="M105" s="945">
        <v>5</v>
      </c>
      <c r="N105" s="945">
        <v>6</v>
      </c>
      <c r="O105" s="21">
        <v>7</v>
      </c>
      <c r="P105" s="529"/>
    </row>
    <row r="106" spans="1:16" s="550" customFormat="1" ht="12.75" customHeight="1" thickBot="1">
      <c r="A106" s="16"/>
      <c r="B106" s="585"/>
      <c r="C106" s="16"/>
      <c r="D106" s="622"/>
      <c r="F106" s="588"/>
      <c r="G106" s="587"/>
      <c r="H106" s="605"/>
      <c r="I106" s="605"/>
      <c r="J106" s="1331" t="s">
        <v>41</v>
      </c>
      <c r="K106" s="1331"/>
      <c r="L106" s="1331"/>
      <c r="M106" s="1332"/>
      <c r="N106" s="944"/>
      <c r="O106" s="944"/>
      <c r="P106" s="525"/>
    </row>
    <row r="107" spans="1:16" s="550" customFormat="1" ht="16.5" customHeight="1" thickBot="1">
      <c r="A107" s="16"/>
      <c r="B107" s="594"/>
      <c r="C107" s="613" t="s">
        <v>94</v>
      </c>
      <c r="D107" s="630"/>
      <c r="E107" s="595"/>
      <c r="F107" s="614">
        <f>F15+F45+F74+F102+F90</f>
        <v>309.3924895</v>
      </c>
      <c r="G107" s="596"/>
      <c r="H107" s="606"/>
      <c r="I107" s="620">
        <f aca="true" t="shared" si="36" ref="I107:O107">I15+I45+I74+I102+I90</f>
        <v>10.74015123076923</v>
      </c>
      <c r="J107" s="620">
        <f t="shared" si="36"/>
        <v>56.946691076923074</v>
      </c>
      <c r="K107" s="620">
        <f t="shared" si="36"/>
        <v>37.27789057692308</v>
      </c>
      <c r="L107" s="620">
        <f t="shared" si="36"/>
        <v>74.89449107692309</v>
      </c>
      <c r="M107" s="620">
        <f t="shared" si="36"/>
        <v>54.33299107692307</v>
      </c>
      <c r="N107" s="620">
        <f t="shared" si="36"/>
        <v>32.17259107692308</v>
      </c>
      <c r="O107" s="958">
        <f t="shared" si="36"/>
        <v>43.027683384615386</v>
      </c>
      <c r="P107" s="529">
        <f>SUM(I107:O107)</f>
        <v>309.3924895</v>
      </c>
    </row>
    <row r="108" spans="1:16" s="550" customFormat="1" ht="21" customHeight="1">
      <c r="A108" s="16"/>
      <c r="B108" s="585"/>
      <c r="C108" s="16" t="s">
        <v>54</v>
      </c>
      <c r="D108" s="622"/>
      <c r="F108" s="597">
        <f>F107/1.18*0.18</f>
        <v>47.1954645</v>
      </c>
      <c r="G108" s="587"/>
      <c r="H108" s="605"/>
      <c r="I108" s="605"/>
      <c r="J108" s="598" t="s">
        <v>42</v>
      </c>
      <c r="K108" s="593"/>
      <c r="L108" s="593"/>
      <c r="M108" s="593"/>
      <c r="N108" s="593"/>
      <c r="O108" s="593"/>
      <c r="P108" s="525"/>
    </row>
    <row r="109" spans="1:16" s="550" customFormat="1" ht="3" customHeight="1">
      <c r="A109" s="16"/>
      <c r="B109" s="585"/>
      <c r="C109" s="16"/>
      <c r="D109" s="622"/>
      <c r="F109" s="597"/>
      <c r="G109" s="587"/>
      <c r="H109" s="605"/>
      <c r="I109" s="605"/>
      <c r="J109" s="598"/>
      <c r="K109" s="593"/>
      <c r="L109" s="593"/>
      <c r="M109" s="593"/>
      <c r="N109" s="593"/>
      <c r="O109" s="593"/>
      <c r="P109" s="525"/>
    </row>
    <row r="110" spans="1:16" s="599" customFormat="1" ht="12.75" customHeight="1">
      <c r="A110" s="17"/>
      <c r="B110" s="632" t="s">
        <v>366</v>
      </c>
      <c r="C110" s="17"/>
      <c r="D110" s="631"/>
      <c r="G110" s="600"/>
      <c r="H110" s="607"/>
      <c r="I110" s="601">
        <f>I107</f>
        <v>10.74015123076923</v>
      </c>
      <c r="J110" s="601">
        <f aca="true" t="shared" si="37" ref="J110:O110">I110+J107</f>
        <v>67.6868423076923</v>
      </c>
      <c r="K110" s="601">
        <f t="shared" si="37"/>
        <v>104.96473288461539</v>
      </c>
      <c r="L110" s="601">
        <f t="shared" si="37"/>
        <v>179.85922396153848</v>
      </c>
      <c r="M110" s="601">
        <f t="shared" si="37"/>
        <v>234.19221503846154</v>
      </c>
      <c r="N110" s="601">
        <f t="shared" si="37"/>
        <v>266.3648061153846</v>
      </c>
      <c r="O110" s="601">
        <f t="shared" si="37"/>
        <v>309.3924895</v>
      </c>
      <c r="P110" s="525"/>
    </row>
  </sheetData>
  <mergeCells count="12">
    <mergeCell ref="N60:N61"/>
    <mergeCell ref="O60:O61"/>
    <mergeCell ref="A60:A61"/>
    <mergeCell ref="C60:C61"/>
    <mergeCell ref="F60:F61"/>
    <mergeCell ref="H60:H61"/>
    <mergeCell ref="D60:D61"/>
    <mergeCell ref="E60:E61"/>
    <mergeCell ref="J104:M104"/>
    <mergeCell ref="J106:M106"/>
    <mergeCell ref="B92:C92"/>
    <mergeCell ref="J3:M3"/>
  </mergeCells>
  <printOptions/>
  <pageMargins left="1.1023622047244095" right="0.6692913385826772" top="0.23" bottom="0.2362204724409449" header="0.27" footer="0.2362204724409449"/>
  <pageSetup horizontalDpi="300" verticalDpi="300" orientation="portrait" paperSize="9" scale="5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75" zoomScaleNormal="68" zoomScaleSheetLayoutView="75" workbookViewId="0" topLeftCell="A19">
      <selection activeCell="A47" sqref="A47"/>
    </sheetView>
  </sheetViews>
  <sheetFormatPr defaultColWidth="9.00390625" defaultRowHeight="12.75"/>
  <cols>
    <col min="1" max="1" width="68.625" style="31" customWidth="1"/>
    <col min="2" max="3" width="20.25390625" style="31" customWidth="1"/>
    <col min="4" max="4" width="16.00390625" style="31" customWidth="1"/>
    <col min="5" max="5" width="17.125" style="31" customWidth="1"/>
    <col min="6" max="6" width="21.125" style="31" customWidth="1"/>
    <col min="7" max="16384" width="9.125" style="31" customWidth="1"/>
  </cols>
  <sheetData>
    <row r="1" spans="1:6" ht="15.75">
      <c r="A1" s="30" t="s">
        <v>99</v>
      </c>
      <c r="F1" s="32" t="s">
        <v>101</v>
      </c>
    </row>
    <row r="2" ht="16.5" thickBot="1">
      <c r="A2" s="33" t="s">
        <v>100</v>
      </c>
    </row>
    <row r="3" ht="16.5" thickBot="1">
      <c r="F3" s="1075" t="s">
        <v>368</v>
      </c>
    </row>
    <row r="4" spans="1:6" ht="13.5" customHeight="1" thickBot="1">
      <c r="A4" s="1185" t="s">
        <v>102</v>
      </c>
      <c r="B4" s="1189" t="s">
        <v>103</v>
      </c>
      <c r="C4" s="1190"/>
      <c r="D4" s="1183" t="s">
        <v>104</v>
      </c>
      <c r="E4" s="1184"/>
      <c r="F4" s="1187" t="s">
        <v>107</v>
      </c>
    </row>
    <row r="5" spans="1:6" ht="60.75" customHeight="1" thickBot="1">
      <c r="A5" s="1186"/>
      <c r="B5" s="1191"/>
      <c r="C5" s="1169"/>
      <c r="D5" s="34" t="s">
        <v>105</v>
      </c>
      <c r="E5" s="35" t="s">
        <v>106</v>
      </c>
      <c r="F5" s="1188"/>
    </row>
    <row r="6" spans="1:6" s="39" customFormat="1" ht="16.5" thickBot="1">
      <c r="A6" s="40">
        <v>1</v>
      </c>
      <c r="B6" s="516" t="s">
        <v>368</v>
      </c>
      <c r="C6" s="41" t="s">
        <v>357</v>
      </c>
      <c r="D6" s="40">
        <v>3</v>
      </c>
      <c r="E6" s="40">
        <v>4</v>
      </c>
      <c r="F6" s="42">
        <v>5</v>
      </c>
    </row>
    <row r="7" spans="1:6" ht="15.75">
      <c r="A7" s="501" t="s">
        <v>108</v>
      </c>
      <c r="B7" s="511"/>
      <c r="C7" s="235"/>
      <c r="D7" s="151"/>
      <c r="E7" s="151"/>
      <c r="F7" s="278">
        <f>SUM(F9:F17)</f>
        <v>182.76923076923077</v>
      </c>
    </row>
    <row r="8" spans="1:6" ht="15.75">
      <c r="A8" s="502" t="s">
        <v>109</v>
      </c>
      <c r="B8" s="512"/>
      <c r="C8" s="506"/>
      <c r="D8" s="279"/>
      <c r="E8" s="279"/>
      <c r="F8" s="282"/>
    </row>
    <row r="9" spans="1:6" ht="17.25" customHeight="1">
      <c r="A9" s="289" t="s">
        <v>322</v>
      </c>
      <c r="B9" s="513">
        <f>SUM(B10:B11)</f>
        <v>19.23076923076923</v>
      </c>
      <c r="C9" s="290">
        <f>SUM(C10:C11)</f>
        <v>0.5</v>
      </c>
      <c r="D9" s="291"/>
      <c r="E9" s="291"/>
      <c r="F9" s="292">
        <f>B9</f>
        <v>19.23076923076923</v>
      </c>
    </row>
    <row r="10" spans="1:6" ht="17.25" customHeight="1">
      <c r="A10" s="503" t="s">
        <v>323</v>
      </c>
      <c r="B10" s="514">
        <f>C10/26*1000</f>
        <v>11.538461538461537</v>
      </c>
      <c r="C10" s="507">
        <v>0.3</v>
      </c>
      <c r="D10" s="280"/>
      <c r="E10" s="280"/>
      <c r="F10" s="283"/>
    </row>
    <row r="11" spans="1:6" ht="17.25" customHeight="1">
      <c r="A11" s="502" t="s">
        <v>324</v>
      </c>
      <c r="B11" s="514">
        <f>C11/26*1000</f>
        <v>7.6923076923076925</v>
      </c>
      <c r="C11" s="508">
        <v>0.2</v>
      </c>
      <c r="D11" s="277"/>
      <c r="E11" s="277"/>
      <c r="F11" s="284"/>
    </row>
    <row r="12" spans="1:6" ht="15.75">
      <c r="A12" s="289" t="s">
        <v>328</v>
      </c>
      <c r="B12" s="515">
        <f>SUM(B13:B16)</f>
        <v>105.84615384615385</v>
      </c>
      <c r="C12" s="290">
        <f>SUM(C13:C16)</f>
        <v>2.752</v>
      </c>
      <c r="D12" s="291"/>
      <c r="E12" s="291"/>
      <c r="F12" s="292">
        <f>B12</f>
        <v>105.84615384615385</v>
      </c>
    </row>
    <row r="13" spans="1:6" ht="15.75">
      <c r="A13" s="503" t="s">
        <v>360</v>
      </c>
      <c r="B13" s="514">
        <f>C13/26*1000</f>
        <v>25</v>
      </c>
      <c r="C13" s="507">
        <v>0.65</v>
      </c>
      <c r="D13" s="280"/>
      <c r="E13" s="280"/>
      <c r="F13" s="285"/>
    </row>
    <row r="14" spans="1:6" ht="15.75">
      <c r="A14" s="504" t="s">
        <v>326</v>
      </c>
      <c r="B14" s="514">
        <f>C14/26*1000</f>
        <v>5.846153846153847</v>
      </c>
      <c r="C14" s="509">
        <v>0.152</v>
      </c>
      <c r="D14" s="75"/>
      <c r="E14" s="75"/>
      <c r="F14" s="286"/>
    </row>
    <row r="15" spans="1:6" ht="15.75">
      <c r="A15" s="504" t="s">
        <v>454</v>
      </c>
      <c r="B15" s="514">
        <f>C15/26*1000</f>
        <v>17.30769230769231</v>
      </c>
      <c r="C15" s="966">
        <v>0.45</v>
      </c>
      <c r="D15" s="75"/>
      <c r="E15" s="75"/>
      <c r="F15" s="286"/>
    </row>
    <row r="16" spans="1:6" ht="15.75">
      <c r="A16" s="502" t="s">
        <v>325</v>
      </c>
      <c r="B16" s="514">
        <f>C16/26*1000</f>
        <v>57.69230769230769</v>
      </c>
      <c r="C16" s="508">
        <v>1.5</v>
      </c>
      <c r="D16" s="277"/>
      <c r="E16" s="277"/>
      <c r="F16" s="284"/>
    </row>
    <row r="17" spans="1:6" ht="15.75">
      <c r="A17" s="289" t="s">
        <v>327</v>
      </c>
      <c r="B17" s="515">
        <f>SUM(B18:B19)</f>
        <v>57.6923076923077</v>
      </c>
      <c r="C17" s="290">
        <f>SUM(C18:C19)</f>
        <v>1.5</v>
      </c>
      <c r="D17" s="291"/>
      <c r="E17" s="291"/>
      <c r="F17" s="292">
        <f>B17</f>
        <v>57.6923076923077</v>
      </c>
    </row>
    <row r="18" spans="1:6" ht="15.75">
      <c r="A18" s="503" t="s">
        <v>358</v>
      </c>
      <c r="B18" s="514">
        <f>C18/26*1000</f>
        <v>19.230769230769234</v>
      </c>
      <c r="C18" s="507">
        <v>0.5</v>
      </c>
      <c r="D18" s="280"/>
      <c r="E18" s="280"/>
      <c r="F18" s="287"/>
    </row>
    <row r="19" spans="1:6" ht="16.5" thickBot="1">
      <c r="A19" s="505" t="s">
        <v>359</v>
      </c>
      <c r="B19" s="514">
        <f>C19/26*1000</f>
        <v>38.46153846153847</v>
      </c>
      <c r="C19" s="510">
        <v>1</v>
      </c>
      <c r="D19" s="248"/>
      <c r="E19" s="248"/>
      <c r="F19" s="249"/>
    </row>
    <row r="20" spans="1:6" ht="12.75">
      <c r="A20" s="1201" t="s">
        <v>361</v>
      </c>
      <c r="B20" s="1202"/>
      <c r="C20" s="499"/>
      <c r="D20" s="500"/>
      <c r="E20" s="500"/>
      <c r="F20" s="500"/>
    </row>
    <row r="21" spans="1:6" ht="15.75">
      <c r="A21" s="498" t="s">
        <v>362</v>
      </c>
      <c r="B21" s="517"/>
      <c r="C21" s="499"/>
      <c r="D21" s="500"/>
      <c r="E21" s="500"/>
      <c r="F21" s="500"/>
    </row>
    <row r="22" spans="1:6" ht="18">
      <c r="A22" s="1207" t="s">
        <v>469</v>
      </c>
      <c r="B22" s="1207"/>
      <c r="C22" s="1207"/>
      <c r="D22" s="1207"/>
      <c r="E22" s="1207"/>
      <c r="F22" s="1207"/>
    </row>
    <row r="23" spans="1:6" ht="18">
      <c r="A23" s="1078"/>
      <c r="B23" s="1078"/>
      <c r="C23" s="1078"/>
      <c r="D23" s="1078"/>
      <c r="E23" s="1078"/>
      <c r="F23" s="1078"/>
    </row>
    <row r="24" spans="1:6" s="1098" customFormat="1" ht="15.75">
      <c r="A24" s="1203" t="s">
        <v>478</v>
      </c>
      <c r="B24" s="1203"/>
      <c r="C24" s="1203"/>
      <c r="D24" s="1203"/>
      <c r="E24" s="1203"/>
      <c r="F24" s="1203"/>
    </row>
    <row r="25" s="1094" customFormat="1" ht="15">
      <c r="A25" s="1094" t="s">
        <v>485</v>
      </c>
    </row>
    <row r="26" s="1094" customFormat="1" ht="15">
      <c r="A26" s="1094" t="s">
        <v>484</v>
      </c>
    </row>
    <row r="27" ht="9" customHeight="1"/>
    <row r="28" ht="8.25" customHeight="1"/>
    <row r="29" spans="1:6" s="33" customFormat="1" ht="18.75">
      <c r="A29" s="1204" t="s">
        <v>477</v>
      </c>
      <c r="B29" s="1205"/>
      <c r="C29" s="1205"/>
      <c r="D29" s="1205"/>
      <c r="E29" s="1205"/>
      <c r="F29" s="1206"/>
    </row>
    <row r="30" s="33" customFormat="1" ht="8.25" customHeight="1"/>
    <row r="31" spans="1:6" s="33" customFormat="1" ht="15.75" customHeight="1">
      <c r="A31" s="1197" t="s">
        <v>475</v>
      </c>
      <c r="B31" s="1198"/>
      <c r="C31" s="1198"/>
      <c r="D31" s="1198"/>
      <c r="E31" s="1198"/>
      <c r="F31" s="1198"/>
    </row>
    <row r="32" spans="1:6" s="33" customFormat="1" ht="54" customHeight="1">
      <c r="A32" s="1199" t="s">
        <v>476</v>
      </c>
      <c r="B32" s="1200"/>
      <c r="C32" s="1200"/>
      <c r="D32" s="1200"/>
      <c r="E32" s="1200"/>
      <c r="F32" s="1200"/>
    </row>
    <row r="33" s="33" customFormat="1" ht="8.25" customHeight="1">
      <c r="A33" s="1077"/>
    </row>
    <row r="34" spans="1:6" s="33" customFormat="1" ht="30.75" customHeight="1">
      <c r="A34" s="1208" t="s">
        <v>473</v>
      </c>
      <c r="B34" s="1182"/>
      <c r="C34" s="1182"/>
      <c r="D34" s="1182"/>
      <c r="E34" s="1182"/>
      <c r="F34" s="1182"/>
    </row>
    <row r="35" spans="1:6" s="33" customFormat="1" ht="63.75" customHeight="1">
      <c r="A35" s="1195" t="s">
        <v>474</v>
      </c>
      <c r="B35" s="1196"/>
      <c r="C35" s="1196"/>
      <c r="D35" s="1196"/>
      <c r="E35" s="1196"/>
      <c r="F35" s="1196"/>
    </row>
    <row r="36" s="33" customFormat="1" ht="6.75" customHeight="1">
      <c r="A36" s="1097"/>
    </row>
    <row r="37" s="33" customFormat="1" ht="15.75">
      <c r="A37" s="1095" t="s">
        <v>470</v>
      </c>
    </row>
    <row r="38" s="33" customFormat="1" ht="15.75">
      <c r="A38" s="1096" t="s">
        <v>471</v>
      </c>
    </row>
    <row r="39" s="33" customFormat="1" ht="15.75">
      <c r="A39" s="51" t="s">
        <v>472</v>
      </c>
    </row>
    <row r="41" ht="12.75">
      <c r="A41" s="31" t="s">
        <v>486</v>
      </c>
    </row>
  </sheetData>
  <mergeCells count="12">
    <mergeCell ref="D4:E4"/>
    <mergeCell ref="A4:A5"/>
    <mergeCell ref="F4:F5"/>
    <mergeCell ref="B4:C5"/>
    <mergeCell ref="A35:F35"/>
    <mergeCell ref="A31:F31"/>
    <mergeCell ref="A32:F32"/>
    <mergeCell ref="A20:B20"/>
    <mergeCell ref="A24:F24"/>
    <mergeCell ref="A29:F29"/>
    <mergeCell ref="A22:F22"/>
    <mergeCell ref="A34:F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zoomScale="75" zoomScaleNormal="75" zoomScaleSheetLayoutView="75" workbookViewId="0" topLeftCell="A25">
      <selection activeCell="B60" sqref="B60"/>
    </sheetView>
  </sheetViews>
  <sheetFormatPr defaultColWidth="9.00390625" defaultRowHeight="12.75"/>
  <cols>
    <col min="1" max="1" width="5.75390625" style="39" customWidth="1"/>
    <col min="2" max="2" width="44.25390625" style="31" customWidth="1"/>
    <col min="3" max="3" width="9.375" style="31" customWidth="1"/>
    <col min="4" max="4" width="9.00390625" style="31" customWidth="1"/>
    <col min="5" max="5" width="8.375" style="31" customWidth="1"/>
    <col min="6" max="6" width="8.25390625" style="31" customWidth="1"/>
    <col min="7" max="7" width="8.875" style="31" customWidth="1"/>
    <col min="8" max="8" width="8.75390625" style="31" customWidth="1"/>
    <col min="9" max="9" width="9.00390625" style="31" customWidth="1"/>
    <col min="10" max="10" width="8.375" style="31" customWidth="1"/>
    <col min="11" max="11" width="8.25390625" style="31" customWidth="1"/>
    <col min="12" max="12" width="8.875" style="31" customWidth="1"/>
    <col min="13" max="13" width="8.375" style="31" customWidth="1"/>
    <col min="14" max="15" width="8.25390625" style="31" customWidth="1"/>
    <col min="16" max="16" width="10.875" style="31" customWidth="1"/>
    <col min="17" max="19" width="8.75390625" style="31" customWidth="1"/>
    <col min="20" max="20" width="9.875" style="31" customWidth="1"/>
    <col min="21" max="22" width="9.75390625" style="31" customWidth="1"/>
    <col min="23" max="23" width="11.00390625" style="31" customWidth="1"/>
    <col min="24" max="16384" width="9.125" style="31" customWidth="1"/>
  </cols>
  <sheetData>
    <row r="1" spans="2:13" ht="15.75">
      <c r="B1" s="30" t="s">
        <v>386</v>
      </c>
      <c r="K1" s="32" t="s">
        <v>488</v>
      </c>
      <c r="M1" s="30" t="s">
        <v>368</v>
      </c>
    </row>
    <row r="2" ht="5.25" customHeight="1" thickBot="1"/>
    <row r="3" spans="2:23" s="39" customFormat="1" ht="16.5" thickBot="1">
      <c r="B3" s="1192" t="s">
        <v>111</v>
      </c>
      <c r="C3" s="1214" t="s">
        <v>1</v>
      </c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6"/>
      <c r="P3" s="1214" t="s">
        <v>44</v>
      </c>
      <c r="Q3" s="1227"/>
      <c r="R3" s="1227"/>
      <c r="S3" s="1227"/>
      <c r="T3" s="1228"/>
      <c r="U3" s="72" t="s">
        <v>46</v>
      </c>
      <c r="V3" s="72" t="s">
        <v>317</v>
      </c>
      <c r="W3" s="72" t="s">
        <v>318</v>
      </c>
    </row>
    <row r="4" spans="2:23" s="39" customFormat="1" ht="16.5" thickBot="1">
      <c r="B4" s="1193"/>
      <c r="C4" s="1192" t="s">
        <v>112</v>
      </c>
      <c r="D4" s="1214" t="s">
        <v>292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6"/>
      <c r="P4" s="116" t="s">
        <v>112</v>
      </c>
      <c r="Q4" s="1214" t="s">
        <v>113</v>
      </c>
      <c r="R4" s="1215"/>
      <c r="S4" s="1215"/>
      <c r="T4" s="1216"/>
      <c r="U4" s="116" t="s">
        <v>112</v>
      </c>
      <c r="V4" s="116" t="s">
        <v>112</v>
      </c>
      <c r="W4" s="116" t="s">
        <v>112</v>
      </c>
    </row>
    <row r="5" spans="2:23" s="39" customFormat="1" ht="16.5" thickBot="1">
      <c r="B5" s="1194"/>
      <c r="C5" s="1194"/>
      <c r="D5" s="38" t="s">
        <v>114</v>
      </c>
      <c r="E5" s="38" t="s">
        <v>115</v>
      </c>
      <c r="F5" s="38" t="s">
        <v>116</v>
      </c>
      <c r="G5" s="38" t="s">
        <v>117</v>
      </c>
      <c r="H5" s="38" t="s">
        <v>284</v>
      </c>
      <c r="I5" s="38" t="s">
        <v>285</v>
      </c>
      <c r="J5" s="38" t="s">
        <v>286</v>
      </c>
      <c r="K5" s="38" t="s">
        <v>287</v>
      </c>
      <c r="L5" s="38" t="s">
        <v>288</v>
      </c>
      <c r="M5" s="38" t="s">
        <v>289</v>
      </c>
      <c r="N5" s="38" t="s">
        <v>290</v>
      </c>
      <c r="O5" s="38" t="s">
        <v>291</v>
      </c>
      <c r="P5" s="37"/>
      <c r="Q5" s="38" t="s">
        <v>114</v>
      </c>
      <c r="R5" s="38" t="s">
        <v>115</v>
      </c>
      <c r="S5" s="38" t="s">
        <v>116</v>
      </c>
      <c r="T5" s="38" t="s">
        <v>117</v>
      </c>
      <c r="U5" s="37"/>
      <c r="V5" s="37"/>
      <c r="W5" s="37"/>
    </row>
    <row r="6" spans="2:23" s="39" customFormat="1" ht="16.5" thickBot="1">
      <c r="B6" s="37">
        <v>1</v>
      </c>
      <c r="C6" s="320">
        <v>2</v>
      </c>
      <c r="D6" s="320">
        <v>3</v>
      </c>
      <c r="E6" s="320">
        <v>4</v>
      </c>
      <c r="F6" s="320">
        <v>5</v>
      </c>
      <c r="G6" s="116">
        <v>6</v>
      </c>
      <c r="H6" s="320">
        <v>7</v>
      </c>
      <c r="I6" s="320">
        <v>8</v>
      </c>
      <c r="J6" s="320">
        <v>9</v>
      </c>
      <c r="K6" s="320">
        <v>10</v>
      </c>
      <c r="L6" s="320">
        <v>11</v>
      </c>
      <c r="M6" s="320">
        <v>12</v>
      </c>
      <c r="N6" s="320">
        <v>13</v>
      </c>
      <c r="O6" s="116">
        <v>14</v>
      </c>
      <c r="P6" s="320">
        <v>15</v>
      </c>
      <c r="Q6" s="320">
        <v>16</v>
      </c>
      <c r="R6" s="320">
        <v>17</v>
      </c>
      <c r="S6" s="320">
        <v>18</v>
      </c>
      <c r="T6" s="320">
        <v>19</v>
      </c>
      <c r="U6" s="320">
        <v>20</v>
      </c>
      <c r="V6" s="320">
        <v>21</v>
      </c>
      <c r="W6" s="320">
        <v>22</v>
      </c>
    </row>
    <row r="7" spans="1:23" s="214" customFormat="1" ht="47.25" customHeight="1" thickBot="1">
      <c r="A7" s="669">
        <v>1</v>
      </c>
      <c r="B7" s="660" t="str">
        <f>1!A1</f>
        <v>Потребность в капитальных вложениях согласно проектно-сметной документации</v>
      </c>
      <c r="C7" s="697">
        <f>SUM(D7:N7)</f>
        <v>42.38461538461539</v>
      </c>
      <c r="D7" s="754">
        <f>SUM(D8:D14)</f>
        <v>23.153846153846157</v>
      </c>
      <c r="E7" s="755">
        <f aca="true" t="shared" si="0" ref="E7:O7">SUM(E8:E14)</f>
        <v>11.538461538461537</v>
      </c>
      <c r="F7" s="756">
        <f t="shared" si="0"/>
        <v>0</v>
      </c>
      <c r="G7" s="756">
        <f t="shared" si="0"/>
        <v>0</v>
      </c>
      <c r="H7" s="755">
        <f t="shared" si="0"/>
        <v>0</v>
      </c>
      <c r="I7" s="755">
        <f t="shared" si="0"/>
        <v>7.6923076923076925</v>
      </c>
      <c r="J7" s="756">
        <f t="shared" si="0"/>
        <v>0</v>
      </c>
      <c r="K7" s="1138">
        <f t="shared" si="0"/>
        <v>0</v>
      </c>
      <c r="L7" s="812">
        <f t="shared" si="0"/>
        <v>0</v>
      </c>
      <c r="M7" s="813">
        <f t="shared" si="0"/>
        <v>0</v>
      </c>
      <c r="N7" s="813">
        <f t="shared" si="0"/>
        <v>0</v>
      </c>
      <c r="O7" s="814">
        <f t="shared" si="0"/>
        <v>0</v>
      </c>
      <c r="P7" s="376">
        <f>SUM(Q7:T7)</f>
        <v>82.6923076923077</v>
      </c>
      <c r="Q7" s="449">
        <f>SUM(Q8:Q14)</f>
        <v>82.6923076923077</v>
      </c>
      <c r="R7" s="815">
        <f>SUM(R8:R14)</f>
        <v>0</v>
      </c>
      <c r="S7" s="815">
        <f>SUM(S8:S14)</f>
        <v>0</v>
      </c>
      <c r="T7" s="816">
        <f>SUM(T8:T14)</f>
        <v>0</v>
      </c>
      <c r="U7" s="779">
        <v>50</v>
      </c>
      <c r="V7" s="349">
        <v>70</v>
      </c>
      <c r="W7" s="778">
        <v>100</v>
      </c>
    </row>
    <row r="8" spans="1:23" s="455" customFormat="1" ht="14.25" customHeight="1">
      <c r="A8" s="663"/>
      <c r="B8" s="679" t="s">
        <v>149</v>
      </c>
      <c r="C8" s="468"/>
      <c r="D8" s="680"/>
      <c r="E8" s="681"/>
      <c r="F8" s="681"/>
      <c r="G8" s="681"/>
      <c r="H8" s="681"/>
      <c r="I8" s="681"/>
      <c r="J8" s="682"/>
      <c r="K8" s="768"/>
      <c r="L8" s="769"/>
      <c r="M8" s="769"/>
      <c r="N8" s="769"/>
      <c r="O8" s="770"/>
      <c r="P8" s="473"/>
      <c r="Q8" s="451"/>
      <c r="R8" s="452"/>
      <c r="S8" s="453"/>
      <c r="T8" s="454"/>
      <c r="U8" s="473"/>
      <c r="V8" s="485"/>
      <c r="W8" s="473"/>
    </row>
    <row r="9" spans="1:23" s="455" customFormat="1" ht="17.25" customHeight="1">
      <c r="A9" s="663"/>
      <c r="B9" s="652" t="str">
        <f>1!A15</f>
        <v>Автотранспорт</v>
      </c>
      <c r="C9" s="467">
        <f aca="true" t="shared" si="1" ref="C9:C14">SUM(D9:J9)</f>
        <v>17.30769230769231</v>
      </c>
      <c r="D9" s="641">
        <f>1!B15</f>
        <v>17.30769230769231</v>
      </c>
      <c r="E9" s="478"/>
      <c r="F9" s="478"/>
      <c r="G9" s="478"/>
      <c r="H9" s="478"/>
      <c r="I9" s="478"/>
      <c r="J9" s="642"/>
      <c r="K9" s="771"/>
      <c r="L9" s="459"/>
      <c r="M9" s="459"/>
      <c r="N9" s="459"/>
      <c r="O9" s="447"/>
      <c r="P9" s="460"/>
      <c r="Q9" s="457"/>
      <c r="R9" s="458"/>
      <c r="S9" s="459"/>
      <c r="T9" s="461"/>
      <c r="U9" s="460"/>
      <c r="V9" s="486"/>
      <c r="W9" s="460"/>
    </row>
    <row r="10" spans="1:23" s="455" customFormat="1" ht="23.25" customHeight="1">
      <c r="A10" s="663"/>
      <c r="B10" s="652" t="str">
        <f>1!A14</f>
        <v>компьютерное и инженерное оборудование </v>
      </c>
      <c r="C10" s="467">
        <f t="shared" si="1"/>
        <v>5.846153846153847</v>
      </c>
      <c r="D10" s="641">
        <f>1!B14</f>
        <v>5.846153846153847</v>
      </c>
      <c r="E10" s="478"/>
      <c r="F10" s="478"/>
      <c r="G10" s="478"/>
      <c r="H10" s="478"/>
      <c r="I10" s="478"/>
      <c r="J10" s="642"/>
      <c r="K10" s="771"/>
      <c r="L10" s="459"/>
      <c r="M10" s="459"/>
      <c r="N10" s="459"/>
      <c r="O10" s="447"/>
      <c r="P10" s="460"/>
      <c r="Q10" s="457"/>
      <c r="R10" s="458"/>
      <c r="S10" s="459"/>
      <c r="T10" s="461"/>
      <c r="U10" s="460"/>
      <c r="V10" s="486"/>
      <c r="W10" s="460"/>
    </row>
    <row r="11" spans="1:23" s="455" customFormat="1" ht="18" customHeight="1">
      <c r="A11" s="663"/>
      <c r="B11" s="652" t="str">
        <f>1!A10</f>
        <v>реконструкция сборочного цеха</v>
      </c>
      <c r="C11" s="467">
        <f t="shared" si="1"/>
        <v>11.538461538461537</v>
      </c>
      <c r="D11" s="641"/>
      <c r="E11" s="478">
        <f>1!B10</f>
        <v>11.538461538461537</v>
      </c>
      <c r="F11" s="478"/>
      <c r="G11" s="478"/>
      <c r="H11" s="478"/>
      <c r="I11" s="478"/>
      <c r="J11" s="642"/>
      <c r="K11" s="771"/>
      <c r="L11" s="459"/>
      <c r="M11" s="459"/>
      <c r="N11" s="459"/>
      <c r="O11" s="447"/>
      <c r="P11" s="460"/>
      <c r="Q11" s="457"/>
      <c r="R11" s="458"/>
      <c r="S11" s="459"/>
      <c r="T11" s="461"/>
      <c r="U11" s="460"/>
      <c r="V11" s="486"/>
      <c r="W11" s="460"/>
    </row>
    <row r="12" spans="1:23" s="455" customFormat="1" ht="18" customHeight="1">
      <c r="A12" s="663"/>
      <c r="B12" s="652" t="str">
        <f>1!A13</f>
        <v>автокар-подьёмник**</v>
      </c>
      <c r="C12" s="467">
        <f t="shared" si="1"/>
        <v>0</v>
      </c>
      <c r="D12" s="641"/>
      <c r="E12" s="478"/>
      <c r="F12" s="478"/>
      <c r="G12" s="478"/>
      <c r="H12" s="479"/>
      <c r="I12" s="478"/>
      <c r="J12" s="642"/>
      <c r="K12" s="772"/>
      <c r="L12" s="678"/>
      <c r="M12" s="459"/>
      <c r="N12" s="459"/>
      <c r="O12" s="447"/>
      <c r="P12" s="811">
        <f>SUM(Q12:T12)</f>
        <v>25</v>
      </c>
      <c r="Q12" s="702">
        <f>1!B13</f>
        <v>25</v>
      </c>
      <c r="R12" s="458"/>
      <c r="S12" s="459"/>
      <c r="T12" s="461"/>
      <c r="U12" s="460"/>
      <c r="V12" s="486"/>
      <c r="W12" s="460"/>
    </row>
    <row r="13" spans="1:23" s="455" customFormat="1" ht="20.25" customHeight="1">
      <c r="A13" s="663"/>
      <c r="B13" s="652" t="str">
        <f>1!A16</f>
        <v>химико-биологическая лаборатория</v>
      </c>
      <c r="C13" s="467">
        <f t="shared" si="1"/>
        <v>0</v>
      </c>
      <c r="D13" s="641"/>
      <c r="E13" s="478"/>
      <c r="F13" s="478"/>
      <c r="G13" s="479"/>
      <c r="H13" s="478"/>
      <c r="I13" s="478"/>
      <c r="J13" s="642"/>
      <c r="K13" s="773"/>
      <c r="L13" s="459"/>
      <c r="M13" s="459"/>
      <c r="N13" s="459"/>
      <c r="O13" s="447"/>
      <c r="P13" s="460"/>
      <c r="Q13" s="1063">
        <f>1!B16</f>
        <v>57.69230769230769</v>
      </c>
      <c r="S13" s="459"/>
      <c r="T13" s="461"/>
      <c r="U13" s="460"/>
      <c r="V13" s="486"/>
      <c r="W13" s="460"/>
    </row>
    <row r="14" spans="1:23" s="455" customFormat="1" ht="21" customHeight="1" thickBot="1">
      <c r="A14" s="663"/>
      <c r="B14" s="653" t="str">
        <f>1!A11</f>
        <v>ремонт офиса</v>
      </c>
      <c r="C14" s="467">
        <f t="shared" si="1"/>
        <v>7.6923076923076925</v>
      </c>
      <c r="D14" s="643"/>
      <c r="E14" s="644"/>
      <c r="F14" s="644"/>
      <c r="G14" s="644"/>
      <c r="H14" s="644"/>
      <c r="I14" s="644">
        <f>1!B11</f>
        <v>7.6923076923076925</v>
      </c>
      <c r="J14" s="645"/>
      <c r="K14" s="774"/>
      <c r="L14" s="775"/>
      <c r="M14" s="775"/>
      <c r="N14" s="775"/>
      <c r="O14" s="776"/>
      <c r="P14" s="777"/>
      <c r="Q14" s="672"/>
      <c r="R14" s="673"/>
      <c r="S14" s="670"/>
      <c r="T14" s="674"/>
      <c r="U14" s="671"/>
      <c r="V14" s="675"/>
      <c r="W14" s="671"/>
    </row>
    <row r="15" spans="1:23" s="688" customFormat="1" ht="9.75" customHeight="1" thickBot="1">
      <c r="A15" s="683"/>
      <c r="B15" s="684"/>
      <c r="C15" s="685"/>
      <c r="D15" s="686"/>
      <c r="E15" s="686"/>
      <c r="F15" s="686"/>
      <c r="G15" s="686"/>
      <c r="H15" s="686"/>
      <c r="I15" s="686"/>
      <c r="J15" s="658"/>
      <c r="K15" s="658"/>
      <c r="L15" s="658"/>
      <c r="M15" s="658"/>
      <c r="N15" s="658"/>
      <c r="O15" s="687"/>
      <c r="P15" s="658"/>
      <c r="Q15" s="686"/>
      <c r="R15" s="686"/>
      <c r="S15" s="658"/>
      <c r="T15" s="658"/>
      <c r="U15" s="658"/>
      <c r="V15" s="658"/>
      <c r="W15" s="658"/>
    </row>
    <row r="16" spans="1:23" s="214" customFormat="1" ht="30.75" customHeight="1" thickBot="1">
      <c r="A16" s="669">
        <v>2</v>
      </c>
      <c r="B16" s="660" t="s">
        <v>374</v>
      </c>
      <c r="C16" s="690"/>
      <c r="D16" s="691"/>
      <c r="E16" s="692"/>
      <c r="F16" s="692"/>
      <c r="G16" s="692"/>
      <c r="H16" s="692"/>
      <c r="I16" s="692"/>
      <c r="J16" s="693"/>
      <c r="K16" s="783"/>
      <c r="L16" s="450"/>
      <c r="M16" s="450"/>
      <c r="N16" s="450"/>
      <c r="O16" s="784"/>
      <c r="P16" s="349"/>
      <c r="Q16" s="449"/>
      <c r="R16" s="450"/>
      <c r="S16" s="450"/>
      <c r="T16" s="784">
        <v>15</v>
      </c>
      <c r="U16" s="349">
        <v>30</v>
      </c>
      <c r="V16" s="448">
        <v>50</v>
      </c>
      <c r="W16" s="349">
        <v>70</v>
      </c>
    </row>
    <row r="17" spans="1:23" s="214" customFormat="1" ht="32.25" customHeight="1" thickBot="1">
      <c r="A17" s="669">
        <v>3</v>
      </c>
      <c r="B17" s="667" t="s">
        <v>378</v>
      </c>
      <c r="C17" s="751">
        <f>SUM(D17:J17)</f>
        <v>442.9394125769231</v>
      </c>
      <c r="D17" s="899">
        <f aca="true" t="shared" si="2" ref="D17:J17">D19+D26</f>
        <v>25.976766615384612</v>
      </c>
      <c r="E17" s="466">
        <f t="shared" si="2"/>
        <v>72.18330646153845</v>
      </c>
      <c r="F17" s="466">
        <f t="shared" si="2"/>
        <v>55.396505961538466</v>
      </c>
      <c r="G17" s="466">
        <f t="shared" si="2"/>
        <v>94.52510646153847</v>
      </c>
      <c r="H17" s="466">
        <f t="shared" si="2"/>
        <v>73.96360646153846</v>
      </c>
      <c r="I17" s="466">
        <f t="shared" si="2"/>
        <v>54.827206461538466</v>
      </c>
      <c r="J17" s="900">
        <f t="shared" si="2"/>
        <v>66.06691415384616</v>
      </c>
      <c r="K17" s="689"/>
      <c r="L17" s="676"/>
      <c r="M17" s="676"/>
      <c r="N17" s="676"/>
      <c r="O17" s="677"/>
      <c r="P17" s="780"/>
      <c r="Q17" s="781"/>
      <c r="R17" s="676"/>
      <c r="S17" s="676"/>
      <c r="T17" s="677"/>
      <c r="U17" s="780"/>
      <c r="V17" s="782"/>
      <c r="W17" s="780"/>
    </row>
    <row r="18" spans="1:23" s="455" customFormat="1" ht="14.25" customHeight="1" thickBot="1">
      <c r="A18" s="663"/>
      <c r="B18" s="655"/>
      <c r="C18" s="469"/>
      <c r="K18" s="479"/>
      <c r="L18" s="463"/>
      <c r="M18" s="463"/>
      <c r="N18" s="463"/>
      <c r="O18" s="470"/>
      <c r="P18" s="460"/>
      <c r="Q18" s="472"/>
      <c r="R18" s="459"/>
      <c r="S18" s="459"/>
      <c r="T18" s="461"/>
      <c r="U18" s="460"/>
      <c r="V18" s="486"/>
      <c r="W18" s="460"/>
    </row>
    <row r="19" spans="1:23" s="455" customFormat="1" ht="43.5" customHeight="1" thickBot="1">
      <c r="A19" s="694" t="s">
        <v>375</v>
      </c>
      <c r="B19" s="649" t="s">
        <v>407</v>
      </c>
      <c r="C19" s="1064">
        <f aca="true" t="shared" si="3" ref="C19:C24">SUM(D19:J19)</f>
        <v>309.3924895</v>
      </c>
      <c r="D19" s="638">
        <f aca="true" t="shared" si="4" ref="D19:J19">SUM(D20:D24)</f>
        <v>10.74015123076923</v>
      </c>
      <c r="E19" s="638">
        <f t="shared" si="4"/>
        <v>56.946691076923074</v>
      </c>
      <c r="F19" s="639">
        <f t="shared" si="4"/>
        <v>37.27789057692308</v>
      </c>
      <c r="G19" s="639">
        <f t="shared" si="4"/>
        <v>74.89449107692309</v>
      </c>
      <c r="H19" s="640">
        <f t="shared" si="4"/>
        <v>54.33299107692307</v>
      </c>
      <c r="I19" s="640">
        <f t="shared" si="4"/>
        <v>32.17259107692308</v>
      </c>
      <c r="J19" s="640">
        <f t="shared" si="4"/>
        <v>43.027683384615386</v>
      </c>
      <c r="K19" s="478"/>
      <c r="L19" s="459"/>
      <c r="M19" s="459"/>
      <c r="N19" s="459"/>
      <c r="O19" s="461"/>
      <c r="P19" s="460"/>
      <c r="Q19" s="472"/>
      <c r="R19" s="459"/>
      <c r="S19" s="459"/>
      <c r="T19" s="461"/>
      <c r="U19" s="460"/>
      <c r="V19" s="486"/>
      <c r="W19" s="460"/>
    </row>
    <row r="20" spans="1:23" s="455" customFormat="1" ht="18" customHeight="1">
      <c r="A20" s="663"/>
      <c r="B20" s="964" t="s">
        <v>371</v>
      </c>
      <c r="C20" s="646">
        <f t="shared" si="3"/>
        <v>94.07904</v>
      </c>
      <c r="D20" s="878"/>
      <c r="E20" s="878">
        <f>'ИЗ -внедрение'!J15</f>
        <v>15.67984</v>
      </c>
      <c r="F20" s="878">
        <f>'ИЗ -внедрение'!K15</f>
        <v>15.67984</v>
      </c>
      <c r="G20" s="878">
        <f>'ИЗ -внедрение'!L15</f>
        <v>15.67984</v>
      </c>
      <c r="H20" s="878">
        <f>'ИЗ -внедрение'!M15</f>
        <v>15.67984</v>
      </c>
      <c r="I20" s="878">
        <f>'ИЗ -внедрение'!N15</f>
        <v>15.67984</v>
      </c>
      <c r="J20" s="878">
        <f>'ИЗ -внедрение'!O15</f>
        <v>15.67984</v>
      </c>
      <c r="K20" s="478"/>
      <c r="L20" s="459"/>
      <c r="M20" s="459"/>
      <c r="N20" s="459"/>
      <c r="O20" s="461"/>
      <c r="P20" s="460"/>
      <c r="Q20" s="472"/>
      <c r="R20" s="459"/>
      <c r="S20" s="459"/>
      <c r="T20" s="461"/>
      <c r="U20" s="460"/>
      <c r="V20" s="486"/>
      <c r="W20" s="460"/>
    </row>
    <row r="21" spans="1:23" s="455" customFormat="1" ht="18" customHeight="1">
      <c r="A21" s="663"/>
      <c r="B21" s="959" t="s">
        <v>370</v>
      </c>
      <c r="C21" s="467">
        <f t="shared" si="3"/>
        <v>95.02129950000001</v>
      </c>
      <c r="D21" s="641"/>
      <c r="E21" s="641">
        <f>'ИЗ -внедрение'!J45</f>
        <v>26.697499999999998</v>
      </c>
      <c r="F21" s="641">
        <f>'ИЗ -внедрение'!K45</f>
        <v>7.0286995</v>
      </c>
      <c r="G21" s="641">
        <f>'ИЗ -внедрение'!L45</f>
        <v>41.99030000000001</v>
      </c>
      <c r="H21" s="641">
        <f>'ИЗ -внедрение'!M45</f>
        <v>19.3048</v>
      </c>
      <c r="I21" s="641"/>
      <c r="J21" s="641"/>
      <c r="K21" s="478"/>
      <c r="L21" s="459"/>
      <c r="M21" s="459"/>
      <c r="N21" s="459"/>
      <c r="O21" s="461"/>
      <c r="P21" s="460"/>
      <c r="Q21" s="472"/>
      <c r="R21" s="459"/>
      <c r="S21" s="459"/>
      <c r="T21" s="461"/>
      <c r="U21" s="460"/>
      <c r="V21" s="486"/>
      <c r="W21" s="460"/>
    </row>
    <row r="22" spans="1:23" s="455" customFormat="1" ht="18" customHeight="1">
      <c r="A22" s="663"/>
      <c r="B22" s="960" t="s">
        <v>372</v>
      </c>
      <c r="C22" s="467">
        <f t="shared" si="3"/>
        <v>100.2330576923077</v>
      </c>
      <c r="D22" s="641">
        <f>'ИЗ -внедрение'!I74</f>
        <v>10.74015123076923</v>
      </c>
      <c r="E22" s="641">
        <f>'ИЗ -внедрение'!J74</f>
        <v>14.569351076923077</v>
      </c>
      <c r="F22" s="641">
        <f>'ИЗ -внедрение'!K74</f>
        <v>14.569351076923077</v>
      </c>
      <c r="G22" s="641">
        <f>'ИЗ -внедрение'!L74</f>
        <v>14.569351076923077</v>
      </c>
      <c r="H22" s="641">
        <f>'ИЗ -внедрение'!M74</f>
        <v>14.569351076923077</v>
      </c>
      <c r="I22" s="641">
        <f>'ИЗ -внедрение'!N74</f>
        <v>15.607751076923076</v>
      </c>
      <c r="J22" s="641">
        <f>'ИЗ -внедрение'!O74</f>
        <v>15.607751076923076</v>
      </c>
      <c r="K22" s="478"/>
      <c r="L22" s="459"/>
      <c r="M22" s="459"/>
      <c r="N22" s="459"/>
      <c r="O22" s="461"/>
      <c r="P22" s="460"/>
      <c r="Q22" s="472"/>
      <c r="R22" s="459"/>
      <c r="S22" s="459"/>
      <c r="T22" s="461"/>
      <c r="U22" s="460"/>
      <c r="V22" s="486"/>
      <c r="W22" s="460"/>
    </row>
    <row r="23" spans="1:23" s="455" customFormat="1" ht="19.5" customHeight="1">
      <c r="A23" s="663"/>
      <c r="B23" s="960" t="str">
        <f>'ИЗ -внедрение'!B76</f>
        <v>Строительство и монтаж оборудования</v>
      </c>
      <c r="C23" s="467">
        <f t="shared" si="3"/>
        <v>9.735</v>
      </c>
      <c r="D23" s="962"/>
      <c r="E23" s="641"/>
      <c r="F23" s="641"/>
      <c r="G23" s="641">
        <f>'ИЗ -внедрение'!L90</f>
        <v>2.655</v>
      </c>
      <c r="H23" s="641">
        <f>'ИЗ -внедрение'!M90</f>
        <v>4.778999999999999</v>
      </c>
      <c r="I23" s="641">
        <f>'ИЗ -внедрение'!N90</f>
        <v>0.8849999999999999</v>
      </c>
      <c r="J23" s="641">
        <f>'ИЗ -внедрение'!O90</f>
        <v>1.416</v>
      </c>
      <c r="K23" s="641"/>
      <c r="L23" s="459"/>
      <c r="M23" s="459"/>
      <c r="N23" s="459"/>
      <c r="O23" s="461"/>
      <c r="P23" s="460"/>
      <c r="Q23" s="472"/>
      <c r="R23" s="459"/>
      <c r="S23" s="459"/>
      <c r="T23" s="461"/>
      <c r="U23" s="460"/>
      <c r="V23" s="486"/>
      <c r="W23" s="460"/>
    </row>
    <row r="24" spans="1:23" s="455" customFormat="1" ht="29.25" customHeight="1" thickBot="1">
      <c r="A24" s="663"/>
      <c r="B24" s="961" t="str">
        <f>'ИЗ -внедрение'!B92</f>
        <v>Разработка и написание нормативных и регламентирующих докум.</v>
      </c>
      <c r="C24" s="637">
        <f t="shared" si="3"/>
        <v>10.324092307692307</v>
      </c>
      <c r="D24" s="963"/>
      <c r="E24" s="643"/>
      <c r="F24" s="643"/>
      <c r="G24" s="643"/>
      <c r="H24" s="643"/>
      <c r="I24" s="643"/>
      <c r="J24" s="643">
        <f>'ИЗ -внедрение'!O102</f>
        <v>10.324092307692307</v>
      </c>
      <c r="K24" s="478"/>
      <c r="L24" s="459"/>
      <c r="M24" s="459"/>
      <c r="N24" s="459"/>
      <c r="O24" s="461"/>
      <c r="P24" s="460"/>
      <c r="Q24" s="472"/>
      <c r="R24" s="459"/>
      <c r="S24" s="459"/>
      <c r="T24" s="461"/>
      <c r="U24" s="460"/>
      <c r="V24" s="486"/>
      <c r="W24" s="460"/>
    </row>
    <row r="25" spans="1:23" s="455" customFormat="1" ht="11.25" customHeight="1" thickBot="1">
      <c r="A25" s="663"/>
      <c r="B25" s="647"/>
      <c r="C25" s="685"/>
      <c r="D25" s="658"/>
      <c r="E25" s="658"/>
      <c r="F25" s="658"/>
      <c r="G25" s="658"/>
      <c r="H25" s="685"/>
      <c r="I25" s="658"/>
      <c r="J25" s="648"/>
      <c r="K25" s="478"/>
      <c r="L25" s="459"/>
      <c r="M25" s="459"/>
      <c r="N25" s="459"/>
      <c r="O25" s="461"/>
      <c r="P25" s="460"/>
      <c r="Q25" s="472"/>
      <c r="R25" s="459"/>
      <c r="S25" s="459"/>
      <c r="T25" s="461"/>
      <c r="U25" s="460"/>
      <c r="V25" s="486"/>
      <c r="W25" s="460"/>
    </row>
    <row r="26" spans="1:23" s="455" customFormat="1" ht="29.25" customHeight="1" thickBot="1">
      <c r="A26" s="695" t="s">
        <v>376</v>
      </c>
      <c r="B26" s="654" t="s">
        <v>377</v>
      </c>
      <c r="C26" s="465">
        <f>SUM(D26:J26)</f>
        <v>133.54692307692306</v>
      </c>
      <c r="D26" s="752">
        <f aca="true" t="shared" si="5" ref="D26:J26">D27+D28+D33</f>
        <v>15.236615384615384</v>
      </c>
      <c r="E26" s="638">
        <f t="shared" si="5"/>
        <v>15.236615384615384</v>
      </c>
      <c r="F26" s="638">
        <f t="shared" si="5"/>
        <v>18.118615384615385</v>
      </c>
      <c r="G26" s="638">
        <f t="shared" si="5"/>
        <v>19.630615384615385</v>
      </c>
      <c r="H26" s="638">
        <f t="shared" si="5"/>
        <v>19.630615384615385</v>
      </c>
      <c r="I26" s="638">
        <f t="shared" si="5"/>
        <v>22.654615384615386</v>
      </c>
      <c r="J26" s="753">
        <f t="shared" si="5"/>
        <v>23.03923076923077</v>
      </c>
      <c r="K26" s="641"/>
      <c r="L26" s="459"/>
      <c r="M26" s="459"/>
      <c r="N26" s="459"/>
      <c r="O26" s="461"/>
      <c r="P26" s="460"/>
      <c r="Q26" s="472"/>
      <c r="R26" s="459"/>
      <c r="S26" s="459"/>
      <c r="T26" s="461"/>
      <c r="U26" s="460"/>
      <c r="V26" s="486"/>
      <c r="W26" s="460"/>
    </row>
    <row r="27" spans="1:23" s="455" customFormat="1" ht="22.5" customHeight="1" thickBot="1">
      <c r="A27" s="864" t="s">
        <v>395</v>
      </c>
      <c r="B27" s="859" t="str">
        <f>'6-затраты'!A42</f>
        <v>затраты на аренду, топливо, энергию</v>
      </c>
      <c r="C27" s="853">
        <f>SUM(D27:O27)</f>
        <v>13.846923076923078</v>
      </c>
      <c r="D27" s="497">
        <f>'6-затраты'!C42</f>
        <v>0.4946153846153847</v>
      </c>
      <c r="E27" s="656">
        <f>'6-затраты'!D42</f>
        <v>0.4946153846153847</v>
      </c>
      <c r="F27" s="656">
        <f>'6-затраты'!E42</f>
        <v>2.494615384615385</v>
      </c>
      <c r="G27" s="656">
        <f>'6-затраты'!F42</f>
        <v>2.494615384615385</v>
      </c>
      <c r="H27" s="656">
        <f>'6-затраты'!G42</f>
        <v>2.494615384615385</v>
      </c>
      <c r="I27" s="656">
        <f>'6-затраты'!H42</f>
        <v>2.494615384615385</v>
      </c>
      <c r="J27" s="860">
        <f>'6-затраты'!I42</f>
        <v>2.8792307692307695</v>
      </c>
      <c r="K27" s="650"/>
      <c r="L27" s="462"/>
      <c r="M27" s="462"/>
      <c r="N27" s="462"/>
      <c r="O27" s="456"/>
      <c r="P27" s="460"/>
      <c r="Q27" s="472"/>
      <c r="R27" s="459"/>
      <c r="S27" s="459"/>
      <c r="T27" s="461"/>
      <c r="U27" s="460"/>
      <c r="V27" s="486"/>
      <c r="W27" s="460"/>
    </row>
    <row r="28" spans="1:23" s="455" customFormat="1" ht="22.5" customHeight="1" thickBot="1">
      <c r="A28" s="865" t="s">
        <v>396</v>
      </c>
      <c r="B28" s="861" t="s">
        <v>401</v>
      </c>
      <c r="C28" s="858">
        <f>SUM(D28:O28)</f>
        <v>95</v>
      </c>
      <c r="D28" s="977">
        <f>'6-затраты'!C43</f>
        <v>11.7</v>
      </c>
      <c r="E28" s="862">
        <f>'6-затраты'!D43</f>
        <v>11.7</v>
      </c>
      <c r="F28" s="862">
        <f>'6-затраты'!E43</f>
        <v>12.4</v>
      </c>
      <c r="G28" s="862">
        <f>'6-затраты'!F43</f>
        <v>13.6</v>
      </c>
      <c r="H28" s="862">
        <f>'6-затраты'!G43</f>
        <v>13.6</v>
      </c>
      <c r="I28" s="862">
        <f>'6-затраты'!H43</f>
        <v>16</v>
      </c>
      <c r="J28" s="863">
        <f>'6-затраты'!I43</f>
        <v>16</v>
      </c>
      <c r="K28" s="651"/>
      <c r="L28" s="464"/>
      <c r="M28" s="464"/>
      <c r="N28" s="464"/>
      <c r="O28" s="471"/>
      <c r="P28" s="460"/>
      <c r="Q28" s="472"/>
      <c r="R28" s="459"/>
      <c r="S28" s="459"/>
      <c r="T28" s="461"/>
      <c r="U28" s="460"/>
      <c r="V28" s="486"/>
      <c r="W28" s="460"/>
    </row>
    <row r="29" spans="1:23" s="455" customFormat="1" ht="22.5" customHeight="1">
      <c r="A29" s="663"/>
      <c r="B29" s="854" t="s">
        <v>409</v>
      </c>
      <c r="C29" s="911"/>
      <c r="D29" s="974">
        <f>'5-ЗП'!D39</f>
        <v>0</v>
      </c>
      <c r="E29" s="975">
        <f>'5-ЗП'!E39</f>
        <v>0</v>
      </c>
      <c r="F29" s="975">
        <f>'5-ЗП'!F39</f>
        <v>0</v>
      </c>
      <c r="G29" s="975">
        <f>'5-ЗП'!G39</f>
        <v>1.2</v>
      </c>
      <c r="H29" s="975">
        <f>'5-ЗП'!H39</f>
        <v>1.2</v>
      </c>
      <c r="I29" s="975">
        <f>'5-ЗП'!I39</f>
        <v>3.5999999999999996</v>
      </c>
      <c r="J29" s="976">
        <f>'5-ЗП'!J39</f>
        <v>3.5999999999999996</v>
      </c>
      <c r="K29" s="651"/>
      <c r="L29" s="464"/>
      <c r="M29" s="464"/>
      <c r="N29" s="464"/>
      <c r="O29" s="471"/>
      <c r="P29" s="460"/>
      <c r="Q29" s="472"/>
      <c r="R29" s="459"/>
      <c r="S29" s="459"/>
      <c r="T29" s="461"/>
      <c r="U29" s="460"/>
      <c r="V29" s="486"/>
      <c r="W29" s="460"/>
    </row>
    <row r="30" spans="1:23" s="455" customFormat="1" ht="22.5" customHeight="1">
      <c r="A30" s="663"/>
      <c r="B30" s="854" t="s">
        <v>426</v>
      </c>
      <c r="C30" s="911"/>
      <c r="D30" s="917">
        <f>'5-ЗП'!D43</f>
        <v>0.7</v>
      </c>
      <c r="E30" s="915">
        <f>'5-ЗП'!E43</f>
        <v>0.7</v>
      </c>
      <c r="F30" s="915">
        <f>'5-ЗП'!F43</f>
        <v>1.4</v>
      </c>
      <c r="G30" s="915">
        <f>'5-ЗП'!G43</f>
        <v>1.4</v>
      </c>
      <c r="H30" s="915">
        <f>'5-ЗП'!H43</f>
        <v>1.4</v>
      </c>
      <c r="I30" s="915">
        <f>'5-ЗП'!I43</f>
        <v>1.4</v>
      </c>
      <c r="J30" s="918">
        <f>'5-ЗП'!J43</f>
        <v>1.4</v>
      </c>
      <c r="K30" s="651"/>
      <c r="L30" s="464"/>
      <c r="M30" s="464"/>
      <c r="N30" s="464"/>
      <c r="O30" s="471"/>
      <c r="P30" s="460"/>
      <c r="Q30" s="472"/>
      <c r="R30" s="459"/>
      <c r="S30" s="459"/>
      <c r="T30" s="461"/>
      <c r="U30" s="460"/>
      <c r="V30" s="486"/>
      <c r="W30" s="460"/>
    </row>
    <row r="31" spans="1:23" s="455" customFormat="1" ht="22.5" customHeight="1">
      <c r="A31" s="663"/>
      <c r="B31" s="934" t="s">
        <v>410</v>
      </c>
      <c r="C31" s="898"/>
      <c r="D31" s="917">
        <f>'5-ЗП'!D43+'5-ЗП'!D47+'5-ЗП'!D51</f>
        <v>11.7</v>
      </c>
      <c r="E31" s="915">
        <f>'5-ЗП'!E43+'5-ЗП'!E47+'5-ЗП'!E51</f>
        <v>11.7</v>
      </c>
      <c r="F31" s="915">
        <f>'5-ЗП'!F43+'5-ЗП'!F47+'5-ЗП'!F51</f>
        <v>12.4</v>
      </c>
      <c r="G31" s="915">
        <f>'5-ЗП'!G43+'5-ЗП'!G47+'5-ЗП'!G51</f>
        <v>12.4</v>
      </c>
      <c r="H31" s="915">
        <f>'5-ЗП'!H43+'5-ЗП'!H47+'5-ЗП'!H51</f>
        <v>12.4</v>
      </c>
      <c r="I31" s="915">
        <f>'5-ЗП'!I43+'5-ЗП'!I47+'5-ЗП'!I51</f>
        <v>12.4</v>
      </c>
      <c r="J31" s="918">
        <f>'5-ЗП'!J43+'5-ЗП'!J47+'5-ЗП'!J51</f>
        <v>12.4</v>
      </c>
      <c r="K31" s="651"/>
      <c r="L31" s="464"/>
      <c r="M31" s="464"/>
      <c r="N31" s="464"/>
      <c r="O31" s="471"/>
      <c r="P31" s="460"/>
      <c r="Q31" s="472"/>
      <c r="R31" s="459"/>
      <c r="S31" s="459"/>
      <c r="T31" s="461"/>
      <c r="U31" s="460"/>
      <c r="V31" s="486"/>
      <c r="W31" s="460"/>
    </row>
    <row r="32" spans="1:23" s="455" customFormat="1" ht="22.5" customHeight="1" thickBot="1">
      <c r="A32" s="663"/>
      <c r="B32" s="933" t="s">
        <v>427</v>
      </c>
      <c r="C32" s="876"/>
      <c r="D32" s="897">
        <f>'5-ЗП'!D51</f>
        <v>0</v>
      </c>
      <c r="E32" s="919">
        <f>'5-ЗП'!E51</f>
        <v>0</v>
      </c>
      <c r="F32" s="919">
        <f>'5-ЗП'!F51</f>
        <v>0</v>
      </c>
      <c r="G32" s="919">
        <f>'5-ЗП'!G51</f>
        <v>0</v>
      </c>
      <c r="H32" s="919">
        <f>'5-ЗП'!H51</f>
        <v>0</v>
      </c>
      <c r="I32" s="919">
        <f>'5-ЗП'!I51</f>
        <v>0</v>
      </c>
      <c r="J32" s="920">
        <f>'5-ЗП'!J51</f>
        <v>0</v>
      </c>
      <c r="K32" s="651"/>
      <c r="L32" s="464"/>
      <c r="M32" s="464"/>
      <c r="N32" s="464"/>
      <c r="O32" s="471"/>
      <c r="P32" s="460"/>
      <c r="Q32" s="472"/>
      <c r="R32" s="459"/>
      <c r="S32" s="459"/>
      <c r="T32" s="461"/>
      <c r="U32" s="460"/>
      <c r="V32" s="486"/>
      <c r="W32" s="460"/>
    </row>
    <row r="33" spans="1:23" s="455" customFormat="1" ht="22.5" customHeight="1" thickBot="1">
      <c r="A33" s="865" t="s">
        <v>397</v>
      </c>
      <c r="B33" s="861" t="str">
        <f>'6-затраты'!A44</f>
        <v>отчисления на социальные нужды</v>
      </c>
      <c r="C33" s="858">
        <f>SUM(D33:O33)</f>
        <v>24.7</v>
      </c>
      <c r="D33" s="912">
        <f>'6-затраты'!C44</f>
        <v>3.0420000000000003</v>
      </c>
      <c r="E33" s="913">
        <f>'6-затраты'!D44</f>
        <v>3.0420000000000003</v>
      </c>
      <c r="F33" s="913">
        <f>'6-затраты'!E44</f>
        <v>3.224</v>
      </c>
      <c r="G33" s="913">
        <f>'6-затраты'!F44</f>
        <v>3.536</v>
      </c>
      <c r="H33" s="913">
        <f>'6-затраты'!G44</f>
        <v>3.536</v>
      </c>
      <c r="I33" s="913">
        <f>'6-затраты'!H44</f>
        <v>4.16</v>
      </c>
      <c r="J33" s="914">
        <f>'6-затраты'!I44</f>
        <v>4.16</v>
      </c>
      <c r="K33" s="855"/>
      <c r="L33" s="931"/>
      <c r="M33" s="931"/>
      <c r="N33" s="931"/>
      <c r="O33" s="932"/>
      <c r="P33" s="671"/>
      <c r="Q33" s="984"/>
      <c r="R33" s="670"/>
      <c r="S33" s="670"/>
      <c r="T33" s="674"/>
      <c r="U33" s="671"/>
      <c r="V33" s="675"/>
      <c r="W33" s="671"/>
    </row>
    <row r="34" spans="1:23" s="479" customFormat="1" ht="11.25" customHeight="1" thickBot="1">
      <c r="A34" s="665"/>
      <c r="B34" s="684"/>
      <c r="C34" s="685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8"/>
      <c r="Q34" s="658"/>
      <c r="R34" s="658"/>
      <c r="S34" s="658"/>
      <c r="T34" s="658"/>
      <c r="U34" s="658"/>
      <c r="V34" s="658"/>
      <c r="W34" s="658"/>
    </row>
    <row r="35" spans="1:23" s="214" customFormat="1" ht="18.75" customHeight="1" thickBot="1">
      <c r="A35" s="669">
        <v>4</v>
      </c>
      <c r="B35" s="696" t="s">
        <v>405</v>
      </c>
      <c r="C35" s="697">
        <f>SUM(D35:O35)</f>
        <v>19.231</v>
      </c>
      <c r="D35" s="996">
        <f>D36+D41</f>
        <v>5.5</v>
      </c>
      <c r="E35" s="874">
        <f aca="true" t="shared" si="6" ref="E35:J35">E36+E41</f>
        <v>5.5</v>
      </c>
      <c r="F35" s="874">
        <f t="shared" si="6"/>
        <v>3.231</v>
      </c>
      <c r="G35" s="875">
        <f t="shared" si="6"/>
        <v>0</v>
      </c>
      <c r="H35" s="875">
        <f t="shared" si="6"/>
        <v>0</v>
      </c>
      <c r="I35" s="875">
        <f t="shared" si="6"/>
        <v>0</v>
      </c>
      <c r="J35" s="874">
        <f t="shared" si="6"/>
        <v>5</v>
      </c>
      <c r="K35" s="851"/>
      <c r="L35" s="446"/>
      <c r="M35" s="446"/>
      <c r="N35" s="446"/>
      <c r="O35" s="993"/>
      <c r="P35" s="995"/>
      <c r="Q35" s="851"/>
      <c r="R35" s="446"/>
      <c r="S35" s="446"/>
      <c r="T35" s="446"/>
      <c r="U35" s="321"/>
      <c r="V35" s="321"/>
      <c r="W35" s="321"/>
    </row>
    <row r="36" spans="1:23" s="214" customFormat="1" ht="18" customHeight="1" thickBot="1">
      <c r="A36" s="866" t="s">
        <v>391</v>
      </c>
      <c r="B36" s="857" t="s">
        <v>403</v>
      </c>
      <c r="C36" s="1071">
        <f aca="true" t="shared" si="7" ref="C36:C41">SUM(D36:J36)</f>
        <v>19.231</v>
      </c>
      <c r="D36" s="783">
        <f>SUM(D37:D40)</f>
        <v>5.5</v>
      </c>
      <c r="E36" s="872">
        <f aca="true" t="shared" si="8" ref="E36:J36">SUM(E37:E40)</f>
        <v>5.5</v>
      </c>
      <c r="F36" s="872">
        <f t="shared" si="8"/>
        <v>3.231</v>
      </c>
      <c r="G36" s="873">
        <f t="shared" si="8"/>
        <v>0</v>
      </c>
      <c r="H36" s="873">
        <f t="shared" si="8"/>
        <v>0</v>
      </c>
      <c r="I36" s="873">
        <f t="shared" si="8"/>
        <v>0</v>
      </c>
      <c r="J36" s="892">
        <f t="shared" si="8"/>
        <v>5</v>
      </c>
      <c r="K36" s="851"/>
      <c r="L36" s="446"/>
      <c r="M36" s="446"/>
      <c r="N36" s="446"/>
      <c r="O36" s="993"/>
      <c r="P36" s="995"/>
      <c r="Q36" s="851"/>
      <c r="R36" s="446"/>
      <c r="S36" s="446"/>
      <c r="T36" s="446"/>
      <c r="U36" s="321"/>
      <c r="V36" s="321"/>
      <c r="W36" s="321"/>
    </row>
    <row r="37" spans="1:23" s="214" customFormat="1" ht="33" customHeight="1">
      <c r="A37" s="664" t="s">
        <v>395</v>
      </c>
      <c r="B37" s="893" t="s">
        <v>390</v>
      </c>
      <c r="C37" s="867">
        <f t="shared" si="7"/>
        <v>12</v>
      </c>
      <c r="D37" s="768">
        <v>5</v>
      </c>
      <c r="E37" s="887">
        <v>5</v>
      </c>
      <c r="F37" s="887">
        <v>2</v>
      </c>
      <c r="G37" s="887"/>
      <c r="H37" s="887"/>
      <c r="I37" s="888"/>
      <c r="J37" s="682"/>
      <c r="K37" s="994"/>
      <c r="L37" s="446"/>
      <c r="M37" s="446"/>
      <c r="N37" s="446"/>
      <c r="O37" s="993"/>
      <c r="P37" s="995"/>
      <c r="Q37" s="851"/>
      <c r="R37" s="446"/>
      <c r="S37" s="446"/>
      <c r="T37" s="446"/>
      <c r="U37" s="321"/>
      <c r="V37" s="321"/>
      <c r="W37" s="321"/>
    </row>
    <row r="38" spans="1:23" s="214" customFormat="1" ht="17.25" customHeight="1">
      <c r="A38" s="664" t="s">
        <v>396</v>
      </c>
      <c r="B38" s="893" t="s">
        <v>393</v>
      </c>
      <c r="C38" s="868">
        <f t="shared" si="7"/>
        <v>1.2309999999999999</v>
      </c>
      <c r="D38" s="771">
        <v>0.5</v>
      </c>
      <c r="E38" s="478">
        <v>0.5</v>
      </c>
      <c r="F38" s="478">
        <f>0.5-0.269</f>
        <v>0.23099999999999998</v>
      </c>
      <c r="G38" s="478"/>
      <c r="H38" s="478"/>
      <c r="I38" s="870"/>
      <c r="J38" s="642"/>
      <c r="K38" s="994"/>
      <c r="L38" s="446"/>
      <c r="M38" s="446"/>
      <c r="N38" s="446"/>
      <c r="O38" s="993"/>
      <c r="P38" s="995"/>
      <c r="Q38" s="851"/>
      <c r="R38" s="446"/>
      <c r="S38" s="446"/>
      <c r="T38" s="446"/>
      <c r="U38" s="321"/>
      <c r="V38" s="321"/>
      <c r="W38" s="321"/>
    </row>
    <row r="39" spans="1:23" s="214" customFormat="1" ht="21" customHeight="1">
      <c r="A39" s="664" t="s">
        <v>397</v>
      </c>
      <c r="B39" s="893" t="s">
        <v>394</v>
      </c>
      <c r="C39" s="868">
        <f t="shared" si="7"/>
        <v>1</v>
      </c>
      <c r="D39" s="771"/>
      <c r="E39" s="478"/>
      <c r="F39" s="478">
        <v>1</v>
      </c>
      <c r="G39" s="478"/>
      <c r="H39" s="478"/>
      <c r="I39" s="870"/>
      <c r="J39" s="642"/>
      <c r="K39" s="851"/>
      <c r="L39" s="446"/>
      <c r="M39" s="446"/>
      <c r="N39" s="446"/>
      <c r="O39" s="993"/>
      <c r="P39" s="995"/>
      <c r="Q39" s="851"/>
      <c r="R39" s="446"/>
      <c r="S39" s="446"/>
      <c r="T39" s="446"/>
      <c r="U39" s="321"/>
      <c r="V39" s="321"/>
      <c r="W39" s="321"/>
    </row>
    <row r="40" spans="1:23" s="214" customFormat="1" ht="21" customHeight="1" thickBot="1">
      <c r="A40" s="664" t="s">
        <v>398</v>
      </c>
      <c r="B40" s="893" t="s">
        <v>399</v>
      </c>
      <c r="C40" s="869">
        <f t="shared" si="7"/>
        <v>5</v>
      </c>
      <c r="D40" s="889"/>
      <c r="E40" s="852"/>
      <c r="F40" s="852"/>
      <c r="G40" s="852"/>
      <c r="H40" s="852"/>
      <c r="I40" s="890"/>
      <c r="J40" s="891">
        <v>5</v>
      </c>
      <c r="K40" s="851"/>
      <c r="L40" s="446"/>
      <c r="M40" s="446"/>
      <c r="N40" s="446"/>
      <c r="O40" s="993"/>
      <c r="P40" s="1069"/>
      <c r="Q40" s="851"/>
      <c r="R40" s="446"/>
      <c r="S40" s="446"/>
      <c r="T40" s="446"/>
      <c r="U40" s="321"/>
      <c r="V40" s="321"/>
      <c r="W40" s="321"/>
    </row>
    <row r="41" spans="1:23" s="214" customFormat="1" ht="18.75" customHeight="1" thickBot="1">
      <c r="A41" s="866" t="s">
        <v>392</v>
      </c>
      <c r="B41" s="857" t="s">
        <v>402</v>
      </c>
      <c r="C41" s="876">
        <f t="shared" si="7"/>
        <v>0</v>
      </c>
      <c r="D41" s="885"/>
      <c r="E41" s="886"/>
      <c r="F41" s="886"/>
      <c r="G41" s="886"/>
      <c r="H41" s="886"/>
      <c r="I41" s="886"/>
      <c r="J41" s="871"/>
      <c r="K41" s="851"/>
      <c r="L41" s="658"/>
      <c r="M41" s="446"/>
      <c r="N41" s="851"/>
      <c r="P41" s="1072">
        <v>38.462</v>
      </c>
      <c r="Q41" s="851">
        <f>P41</f>
        <v>38.462</v>
      </c>
      <c r="R41" s="446"/>
      <c r="S41" s="446"/>
      <c r="T41" s="446"/>
      <c r="U41" s="321"/>
      <c r="V41" s="321"/>
      <c r="W41" s="321"/>
    </row>
    <row r="42" spans="1:23" s="214" customFormat="1" ht="18.75" customHeight="1">
      <c r="A42" s="877" t="s">
        <v>395</v>
      </c>
      <c r="B42" s="894" t="s">
        <v>404</v>
      </c>
      <c r="C42" s="646"/>
      <c r="D42" s="768"/>
      <c r="E42" s="878"/>
      <c r="F42" s="878"/>
      <c r="G42" s="878"/>
      <c r="H42" s="878"/>
      <c r="I42" s="878"/>
      <c r="J42" s="879"/>
      <c r="K42" s="851"/>
      <c r="L42" s="658"/>
      <c r="M42" s="446"/>
      <c r="N42" s="851"/>
      <c r="O42" s="1065"/>
      <c r="P42" s="1070"/>
      <c r="Q42" s="851"/>
      <c r="R42" s="446"/>
      <c r="S42" s="446"/>
      <c r="T42" s="446"/>
      <c r="U42" s="321"/>
      <c r="V42" s="321"/>
      <c r="W42" s="321"/>
    </row>
    <row r="43" spans="1:23" s="214" customFormat="1" ht="18.75" customHeight="1">
      <c r="A43" s="880" t="s">
        <v>396</v>
      </c>
      <c r="B43" s="893" t="s">
        <v>394</v>
      </c>
      <c r="C43" s="467"/>
      <c r="D43" s="771"/>
      <c r="E43" s="478"/>
      <c r="F43" s="478"/>
      <c r="G43" s="478"/>
      <c r="H43" s="478"/>
      <c r="I43" s="478"/>
      <c r="J43" s="881"/>
      <c r="K43" s="851"/>
      <c r="L43" s="658"/>
      <c r="M43" s="446"/>
      <c r="N43" s="851"/>
      <c r="O43" s="1065"/>
      <c r="P43" s="995"/>
      <c r="Q43" s="851"/>
      <c r="R43" s="446"/>
      <c r="S43" s="446"/>
      <c r="T43" s="446"/>
      <c r="U43" s="321"/>
      <c r="V43" s="321"/>
      <c r="W43" s="321"/>
    </row>
    <row r="44" spans="1:23" s="214" customFormat="1" ht="18.75" customHeight="1" thickBot="1">
      <c r="A44" s="882" t="s">
        <v>397</v>
      </c>
      <c r="B44" s="895" t="s">
        <v>399</v>
      </c>
      <c r="C44" s="637"/>
      <c r="D44" s="774"/>
      <c r="E44" s="644"/>
      <c r="F44" s="644"/>
      <c r="G44" s="644"/>
      <c r="H44" s="644"/>
      <c r="I44" s="644"/>
      <c r="J44" s="883"/>
      <c r="K44" s="1067"/>
      <c r="L44" s="1066"/>
      <c r="M44" s="782"/>
      <c r="N44" s="1067"/>
      <c r="O44" s="1068"/>
      <c r="P44" s="995"/>
      <c r="Q44" s="851"/>
      <c r="R44" s="446"/>
      <c r="S44" s="446"/>
      <c r="T44" s="446"/>
      <c r="U44" s="321"/>
      <c r="V44" s="321"/>
      <c r="W44" s="321"/>
    </row>
    <row r="45" spans="1:23" s="659" customFormat="1" ht="27" customHeight="1" thickBot="1">
      <c r="A45" s="1170" t="s">
        <v>406</v>
      </c>
      <c r="B45" s="1171"/>
      <c r="C45" s="1171"/>
      <c r="D45" s="1171"/>
      <c r="E45" s="1171"/>
      <c r="F45" s="1171"/>
      <c r="G45" s="1171"/>
      <c r="H45" s="1171"/>
      <c r="I45" s="1171"/>
      <c r="J45" s="1171"/>
      <c r="K45" s="1171"/>
      <c r="L45" s="1171"/>
      <c r="M45" s="1171"/>
      <c r="N45" s="1171"/>
      <c r="O45" s="1171"/>
      <c r="P45" s="1171"/>
      <c r="Q45" s="1171"/>
      <c r="R45" s="1171"/>
      <c r="S45" s="1171"/>
      <c r="T45" s="1171"/>
      <c r="U45" s="1171"/>
      <c r="V45" s="1171"/>
      <c r="W45" s="1172"/>
    </row>
    <row r="46" spans="1:23" s="254" customFormat="1" ht="37.5" customHeight="1" thickBot="1">
      <c r="A46" s="668">
        <v>5</v>
      </c>
      <c r="B46" s="884" t="s">
        <v>389</v>
      </c>
      <c r="C46" s="751">
        <f>SUM(D46:J46)</f>
        <v>504.5550279615385</v>
      </c>
      <c r="D46" s="699">
        <f aca="true" t="shared" si="9" ref="D46:K46">D7+D16+D17+D35</f>
        <v>54.630612769230765</v>
      </c>
      <c r="E46" s="700">
        <f t="shared" si="9"/>
        <v>89.22176799999998</v>
      </c>
      <c r="F46" s="700">
        <f t="shared" si="9"/>
        <v>58.62750596153847</v>
      </c>
      <c r="G46" s="700">
        <f t="shared" si="9"/>
        <v>94.52510646153847</v>
      </c>
      <c r="H46" s="700">
        <f t="shared" si="9"/>
        <v>73.96360646153846</v>
      </c>
      <c r="I46" s="700">
        <f t="shared" si="9"/>
        <v>62.51951415384616</v>
      </c>
      <c r="J46" s="701">
        <f t="shared" si="9"/>
        <v>71.06691415384616</v>
      </c>
      <c r="K46" s="1136">
        <f t="shared" si="9"/>
        <v>0</v>
      </c>
      <c r="L46" s="450">
        <f>L7+L16+L17+L35</f>
        <v>0</v>
      </c>
      <c r="M46" s="450">
        <f>M7+M16+M17+M35</f>
        <v>0</v>
      </c>
      <c r="N46" s="450">
        <f>N7+N16+N17+N35</f>
        <v>0</v>
      </c>
      <c r="O46" s="856">
        <f>O7+O16+O17+O35</f>
        <v>0</v>
      </c>
      <c r="P46" s="253">
        <f>SUM(Q46:T46)</f>
        <v>97.6923076923077</v>
      </c>
      <c r="Q46" s="322">
        <f>Q7+Q16+Q17</f>
        <v>82.6923076923077</v>
      </c>
      <c r="R46" s="322">
        <f aca="true" t="shared" si="10" ref="R46:W46">R7+R16+R17+R35</f>
        <v>0</v>
      </c>
      <c r="S46" s="448">
        <f t="shared" si="10"/>
        <v>0</v>
      </c>
      <c r="T46" s="322">
        <f t="shared" si="10"/>
        <v>15</v>
      </c>
      <c r="U46" s="376">
        <f t="shared" si="10"/>
        <v>80</v>
      </c>
      <c r="V46" s="376">
        <f t="shared" si="10"/>
        <v>120</v>
      </c>
      <c r="W46" s="376">
        <f t="shared" si="10"/>
        <v>170</v>
      </c>
    </row>
    <row r="47" spans="1:23" s="484" customFormat="1" ht="31.5" customHeight="1">
      <c r="A47" s="666"/>
      <c r="B47" s="482" t="s">
        <v>481</v>
      </c>
      <c r="C47" s="1074">
        <f>SUM(D47:J47)</f>
        <v>505</v>
      </c>
      <c r="D47" s="1079">
        <v>55</v>
      </c>
      <c r="E47" s="1079">
        <v>90</v>
      </c>
      <c r="F47" s="1079">
        <v>60</v>
      </c>
      <c r="G47" s="1079">
        <v>100</v>
      </c>
      <c r="H47" s="1079">
        <v>75</v>
      </c>
      <c r="I47" s="1079">
        <v>60</v>
      </c>
      <c r="J47" s="1079">
        <v>65</v>
      </c>
      <c r="K47" s="483"/>
      <c r="L47" s="446"/>
      <c r="M47" s="446"/>
      <c r="N47" s="446"/>
      <c r="O47" s="446"/>
      <c r="P47" s="445"/>
      <c r="Q47" s="445"/>
      <c r="R47" s="445"/>
      <c r="S47" s="446"/>
      <c r="T47" s="445"/>
      <c r="U47" s="445"/>
      <c r="V47" s="445"/>
      <c r="W47" s="445"/>
    </row>
  </sheetData>
  <mergeCells count="7">
    <mergeCell ref="A45:W45"/>
    <mergeCell ref="Q4:T4"/>
    <mergeCell ref="P3:T3"/>
    <mergeCell ref="B3:B5"/>
    <mergeCell ref="C3:O3"/>
    <mergeCell ref="C4:C5"/>
    <mergeCell ref="D4:O4"/>
  </mergeCells>
  <printOptions/>
  <pageMargins left="0.8267716535433072" right="0.5118110236220472" top="0.5511811023622047" bottom="0.1968503937007874" header="0.5118110236220472" footer="0.196850393700787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view="pageBreakPreview" zoomScale="75" zoomScaleNormal="75" zoomScaleSheetLayoutView="75" workbookViewId="0" topLeftCell="A1">
      <selection activeCell="A33" sqref="A33"/>
    </sheetView>
  </sheetViews>
  <sheetFormatPr defaultColWidth="9.00390625" defaultRowHeight="12.75"/>
  <cols>
    <col min="1" max="1" width="61.75390625" style="31" customWidth="1"/>
    <col min="2" max="2" width="26.00390625" style="31" customWidth="1"/>
    <col min="3" max="3" width="41.375" style="31" customWidth="1"/>
    <col min="4" max="16384" width="9.125" style="31" customWidth="1"/>
  </cols>
  <sheetData>
    <row r="1" spans="1:3" ht="18.75">
      <c r="A1" s="195" t="s">
        <v>295</v>
      </c>
      <c r="C1" s="127" t="s">
        <v>118</v>
      </c>
    </row>
    <row r="2" ht="16.5" thickBot="1">
      <c r="C2" s="128" t="s">
        <v>479</v>
      </c>
    </row>
    <row r="3" spans="1:3" ht="12.75">
      <c r="A3" s="1173" t="s">
        <v>119</v>
      </c>
      <c r="B3" s="1174"/>
      <c r="C3" s="1192" t="s">
        <v>135</v>
      </c>
    </row>
    <row r="4" spans="1:3" ht="13.5" thickBot="1">
      <c r="A4" s="1175"/>
      <c r="B4" s="1176"/>
      <c r="C4" s="1177"/>
    </row>
    <row r="5" spans="1:3" s="39" customFormat="1" ht="13.5" customHeight="1" thickBot="1">
      <c r="A5" s="1214">
        <v>1</v>
      </c>
      <c r="B5" s="1184"/>
      <c r="C5" s="116">
        <v>2</v>
      </c>
    </row>
    <row r="6" spans="1:3" ht="12.75">
      <c r="A6" s="1178" t="s">
        <v>120</v>
      </c>
      <c r="B6" s="1179"/>
      <c r="C6" s="141"/>
    </row>
    <row r="7" spans="1:3" ht="12.75">
      <c r="A7" s="1180" t="s">
        <v>121</v>
      </c>
      <c r="B7" s="1181"/>
      <c r="C7" s="1115">
        <f>10000/1000000/26</f>
        <v>0.0003846153846153846</v>
      </c>
    </row>
    <row r="8" spans="1:3" ht="12.75">
      <c r="A8" s="1180" t="s">
        <v>122</v>
      </c>
      <c r="B8" s="1181"/>
      <c r="C8" s="142"/>
    </row>
    <row r="9" spans="1:3" ht="12.75">
      <c r="A9" s="1180" t="s">
        <v>123</v>
      </c>
      <c r="B9" s="1181"/>
      <c r="C9" s="142"/>
    </row>
    <row r="10" spans="1:3" ht="12.75">
      <c r="A10" s="1180" t="s">
        <v>124</v>
      </c>
      <c r="B10" s="1181"/>
      <c r="C10" s="142"/>
    </row>
    <row r="11" spans="1:3" ht="12.75">
      <c r="A11" s="1159" t="s">
        <v>125</v>
      </c>
      <c r="B11" s="1160"/>
      <c r="C11" s="143"/>
    </row>
    <row r="12" spans="1:3" ht="13.5" thickBot="1">
      <c r="A12" s="1161" t="s">
        <v>126</v>
      </c>
      <c r="B12" s="1162"/>
      <c r="C12" s="1116">
        <f>SUM(C7:C11)</f>
        <v>0.0003846153846153846</v>
      </c>
    </row>
    <row r="13" spans="1:3" ht="12.75">
      <c r="A13" s="1163" t="s">
        <v>127</v>
      </c>
      <c r="B13" s="1164"/>
      <c r="C13" s="145"/>
    </row>
    <row r="14" spans="1:3" ht="12.75">
      <c r="A14" s="1180" t="s">
        <v>128</v>
      </c>
      <c r="B14" s="1181"/>
      <c r="C14" s="142">
        <f>'2-инвестиции'!C47</f>
        <v>505</v>
      </c>
    </row>
    <row r="15" spans="1:3" ht="12.75">
      <c r="A15" s="1180" t="s">
        <v>129</v>
      </c>
      <c r="B15" s="1181"/>
      <c r="C15" s="142"/>
    </row>
    <row r="16" spans="1:3" ht="12.75">
      <c r="A16" s="1180" t="s">
        <v>130</v>
      </c>
      <c r="B16" s="1181"/>
      <c r="C16" s="142"/>
    </row>
    <row r="17" spans="1:3" ht="12.75">
      <c r="A17" s="1180" t="s">
        <v>131</v>
      </c>
      <c r="B17" s="1181"/>
      <c r="C17" s="142"/>
    </row>
    <row r="18" spans="1:3" ht="12.75">
      <c r="A18" s="1180" t="s">
        <v>132</v>
      </c>
      <c r="B18" s="1181"/>
      <c r="C18" s="146">
        <f>SUM(C14:C17)</f>
        <v>505</v>
      </c>
    </row>
    <row r="19" spans="1:3" ht="13.5" thickBot="1">
      <c r="A19" s="1161" t="s">
        <v>133</v>
      </c>
      <c r="B19" s="1162"/>
      <c r="C19" s="144">
        <v>0</v>
      </c>
    </row>
    <row r="20" spans="1:3" ht="13.5" customHeight="1" thickBot="1">
      <c r="A20" s="1165" t="s">
        <v>134</v>
      </c>
      <c r="B20" s="1166"/>
      <c r="C20" s="147">
        <f>C12+C18+C19</f>
        <v>505.00038461538463</v>
      </c>
    </row>
    <row r="22" spans="1:3" ht="15.75">
      <c r="A22" s="157" t="s">
        <v>281</v>
      </c>
      <c r="B22" s="39" t="s">
        <v>489</v>
      </c>
      <c r="C22" s="31" t="s">
        <v>45</v>
      </c>
    </row>
    <row r="23" spans="1:3" ht="15.75">
      <c r="A23" s="51" t="s">
        <v>279</v>
      </c>
      <c r="B23" s="158">
        <f>7!C13</f>
        <v>757.5</v>
      </c>
      <c r="C23" s="159">
        <f>B23/B26</f>
        <v>0.6</v>
      </c>
    </row>
    <row r="24" spans="1:3" ht="15.75">
      <c r="A24" s="51" t="s">
        <v>280</v>
      </c>
      <c r="B24" s="158">
        <f>C18</f>
        <v>505</v>
      </c>
      <c r="C24" s="159">
        <f>B24/B26</f>
        <v>0.4</v>
      </c>
    </row>
    <row r="25" spans="1:3" ht="12.75">
      <c r="A25" s="1073" t="s">
        <v>466</v>
      </c>
      <c r="B25" s="158">
        <f>C19</f>
        <v>0</v>
      </c>
      <c r="C25" s="159">
        <f>B25/B26</f>
        <v>0</v>
      </c>
    </row>
    <row r="26" spans="1:2" ht="12.75">
      <c r="A26" s="31" t="s">
        <v>9</v>
      </c>
      <c r="B26" s="160">
        <f>SUM(B23:B25)</f>
        <v>1262.5</v>
      </c>
    </row>
  </sheetData>
  <mergeCells count="18">
    <mergeCell ref="A19:B19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3:B4"/>
    <mergeCell ref="C3:C4"/>
    <mergeCell ref="A5:B5"/>
    <mergeCell ref="A6:B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9"/>
  <sheetViews>
    <sheetView zoomScale="75" zoomScaleNormal="75" workbookViewId="0" topLeftCell="A1">
      <selection activeCell="A33" sqref="A33"/>
    </sheetView>
  </sheetViews>
  <sheetFormatPr defaultColWidth="9.00390625" defaultRowHeight="12.75"/>
  <cols>
    <col min="1" max="1" width="50.75390625" style="31" customWidth="1"/>
    <col min="2" max="2" width="10.75390625" style="714" customWidth="1"/>
    <col min="3" max="3" width="11.125" style="84" customWidth="1"/>
    <col min="4" max="9" width="7.75390625" style="31" customWidth="1"/>
    <col min="10" max="10" width="8.25390625" style="31" customWidth="1"/>
    <col min="11" max="14" width="7.75390625" style="31" customWidth="1"/>
    <col min="15" max="15" width="10.00390625" style="31" customWidth="1"/>
    <col min="16" max="16" width="11.00390625" style="84" customWidth="1"/>
    <col min="17" max="18" width="10.00390625" style="31" customWidth="1"/>
    <col min="19" max="19" width="10.375" style="31" customWidth="1"/>
    <col min="20" max="20" width="10.125" style="31" customWidth="1"/>
    <col min="21" max="22" width="11.375" style="84" customWidth="1"/>
    <col min="23" max="23" width="11.75390625" style="31" customWidth="1"/>
    <col min="24" max="16384" width="9.125" style="31" customWidth="1"/>
  </cols>
  <sheetData>
    <row r="2" spans="1:11" ht="20.25">
      <c r="A2" s="194" t="s">
        <v>145</v>
      </c>
      <c r="B2" s="706"/>
      <c r="F2" s="136"/>
      <c r="J2" s="53" t="s">
        <v>146</v>
      </c>
      <c r="K2" s="136"/>
    </row>
    <row r="3" spans="1:11" ht="16.5" thickBot="1">
      <c r="A3" s="52"/>
      <c r="B3" s="706"/>
      <c r="F3" s="136"/>
      <c r="J3" s="53"/>
      <c r="K3" s="136"/>
    </row>
    <row r="4" spans="1:24" s="39" customFormat="1" ht="16.5" thickBot="1">
      <c r="A4" s="1167" t="s">
        <v>136</v>
      </c>
      <c r="B4" s="1153" t="s">
        <v>137</v>
      </c>
      <c r="C4" s="1156" t="s">
        <v>1</v>
      </c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8"/>
      <c r="P4" s="1156" t="s">
        <v>44</v>
      </c>
      <c r="Q4" s="1157"/>
      <c r="R4" s="1157"/>
      <c r="S4" s="1157"/>
      <c r="T4" s="1158"/>
      <c r="U4" s="217" t="s">
        <v>138</v>
      </c>
      <c r="V4" s="217" t="s">
        <v>317</v>
      </c>
      <c r="W4" s="217" t="s">
        <v>318</v>
      </c>
      <c r="X4" s="661" t="s">
        <v>335</v>
      </c>
    </row>
    <row r="5" spans="1:24" s="39" customFormat="1" ht="15.75" customHeight="1" thickBot="1">
      <c r="A5" s="1168"/>
      <c r="B5" s="1154"/>
      <c r="C5" s="1142" t="s">
        <v>112</v>
      </c>
      <c r="D5" s="1214" t="s">
        <v>292</v>
      </c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6"/>
      <c r="P5" s="1142" t="s">
        <v>112</v>
      </c>
      <c r="Q5" s="1156" t="s">
        <v>113</v>
      </c>
      <c r="R5" s="1157"/>
      <c r="S5" s="1157"/>
      <c r="T5" s="1158"/>
      <c r="U5" s="215" t="s">
        <v>112</v>
      </c>
      <c r="V5" s="215" t="s">
        <v>112</v>
      </c>
      <c r="W5" s="215" t="s">
        <v>112</v>
      </c>
      <c r="X5" s="662" t="s">
        <v>385</v>
      </c>
    </row>
    <row r="6" spans="1:24" s="39" customFormat="1" ht="16.5" thickBot="1">
      <c r="A6" s="1152"/>
      <c r="B6" s="1155"/>
      <c r="C6" s="1143"/>
      <c r="D6" s="38" t="s">
        <v>114</v>
      </c>
      <c r="E6" s="38" t="s">
        <v>115</v>
      </c>
      <c r="F6" s="38" t="s">
        <v>116</v>
      </c>
      <c r="G6" s="38" t="s">
        <v>117</v>
      </c>
      <c r="H6" s="38" t="s">
        <v>284</v>
      </c>
      <c r="I6" s="38" t="s">
        <v>285</v>
      </c>
      <c r="J6" s="38" t="s">
        <v>286</v>
      </c>
      <c r="K6" s="38" t="s">
        <v>287</v>
      </c>
      <c r="L6" s="38" t="s">
        <v>288</v>
      </c>
      <c r="M6" s="38" t="s">
        <v>289</v>
      </c>
      <c r="N6" s="38" t="s">
        <v>290</v>
      </c>
      <c r="O6" s="38" t="s">
        <v>291</v>
      </c>
      <c r="P6" s="1144"/>
      <c r="Q6" s="45" t="s">
        <v>114</v>
      </c>
      <c r="R6" s="45" t="s">
        <v>115</v>
      </c>
      <c r="S6" s="45" t="s">
        <v>116</v>
      </c>
      <c r="T6" s="45" t="s">
        <v>117</v>
      </c>
      <c r="U6" s="218"/>
      <c r="V6" s="218"/>
      <c r="W6" s="218"/>
      <c r="X6" s="662"/>
    </row>
    <row r="7" spans="1:24" ht="16.5" thickBot="1">
      <c r="A7" s="46">
        <v>1</v>
      </c>
      <c r="B7" s="44">
        <v>2</v>
      </c>
      <c r="C7" s="215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215">
        <v>16</v>
      </c>
      <c r="Q7" s="137">
        <v>17</v>
      </c>
      <c r="R7" s="137">
        <v>18</v>
      </c>
      <c r="S7" s="137">
        <v>19</v>
      </c>
      <c r="T7" s="137">
        <v>20</v>
      </c>
      <c r="U7" s="215">
        <v>21</v>
      </c>
      <c r="V7" s="215">
        <v>22</v>
      </c>
      <c r="W7" s="215">
        <v>23</v>
      </c>
      <c r="X7" s="748"/>
    </row>
    <row r="8" spans="1:24" ht="16.5" thickBot="1">
      <c r="A8" s="435" t="s">
        <v>260</v>
      </c>
      <c r="B8" s="707"/>
      <c r="C8" s="237"/>
      <c r="D8" s="227"/>
      <c r="E8" s="43"/>
      <c r="F8" s="43"/>
      <c r="G8" s="43"/>
      <c r="H8" s="43"/>
      <c r="I8" s="43"/>
      <c r="J8" s="43"/>
      <c r="K8" s="43"/>
      <c r="L8" s="43"/>
      <c r="M8" s="43"/>
      <c r="N8" s="43"/>
      <c r="O8" s="193"/>
      <c r="P8" s="237"/>
      <c r="Q8" s="227"/>
      <c r="R8" s="43"/>
      <c r="S8" s="43"/>
      <c r="T8" s="193"/>
      <c r="U8" s="237"/>
      <c r="V8" s="237"/>
      <c r="W8" s="237"/>
      <c r="X8" s="748"/>
    </row>
    <row r="9" spans="1:24" ht="16.5" thickBot="1">
      <c r="A9" s="727" t="s">
        <v>261</v>
      </c>
      <c r="B9" s="728" t="s">
        <v>263</v>
      </c>
      <c r="C9" s="746">
        <f>SUM(D9:O9)</f>
        <v>3</v>
      </c>
      <c r="D9" s="729"/>
      <c r="E9" s="730"/>
      <c r="F9" s="730"/>
      <c r="G9" s="730"/>
      <c r="H9" s="730"/>
      <c r="I9" s="730"/>
      <c r="J9" s="730">
        <v>1</v>
      </c>
      <c r="K9" s="730"/>
      <c r="L9" s="730"/>
      <c r="M9" s="730"/>
      <c r="N9" s="730"/>
      <c r="O9" s="731">
        <v>2</v>
      </c>
      <c r="P9" s="746">
        <f>SUM(Q9:T9)</f>
        <v>18</v>
      </c>
      <c r="Q9" s="729">
        <v>3</v>
      </c>
      <c r="R9" s="730">
        <v>4</v>
      </c>
      <c r="S9" s="730">
        <v>5</v>
      </c>
      <c r="T9" s="731">
        <v>6</v>
      </c>
      <c r="U9" s="746">
        <f>P9*1.5</f>
        <v>27</v>
      </c>
      <c r="V9" s="746">
        <f>U9*1.5</f>
        <v>40.5</v>
      </c>
      <c r="W9" s="746">
        <f>V9*1.5</f>
        <v>60.75</v>
      </c>
      <c r="X9" s="750">
        <f>W9+V9+U9+P9+C9</f>
        <v>149.25</v>
      </c>
    </row>
    <row r="10" spans="1:24" ht="16.5" thickBot="1">
      <c r="A10" s="732" t="s">
        <v>262</v>
      </c>
      <c r="B10" s="733" t="s">
        <v>380</v>
      </c>
      <c r="C10" s="747">
        <f>SUM(D10:O10)</f>
        <v>1384.6153846153848</v>
      </c>
      <c r="D10" s="734"/>
      <c r="E10" s="735"/>
      <c r="F10" s="735"/>
      <c r="G10" s="735"/>
      <c r="H10" s="735"/>
      <c r="I10" s="735"/>
      <c r="J10" s="735">
        <f>J9*J16</f>
        <v>461.53846153846155</v>
      </c>
      <c r="K10" s="735"/>
      <c r="L10" s="735"/>
      <c r="M10" s="735"/>
      <c r="N10" s="735"/>
      <c r="O10" s="736">
        <f>O9*O16</f>
        <v>923.0769230769231</v>
      </c>
      <c r="P10" s="747">
        <f>SUM(Q10:T10)</f>
        <v>9055.384615384617</v>
      </c>
      <c r="Q10" s="734">
        <f>Q13*Q16+Q17*Q14*35</f>
        <v>1509.2307692307695</v>
      </c>
      <c r="R10" s="735">
        <f>R13*R16+R17*R14*35</f>
        <v>2012.3076923076926</v>
      </c>
      <c r="S10" s="735">
        <f>S13*S16+S17*S14*35</f>
        <v>2515.3846153846157</v>
      </c>
      <c r="T10" s="736">
        <f>T13*T16+T17*T14*35</f>
        <v>3018.461538461539</v>
      </c>
      <c r="U10" s="747">
        <f>U13*U16+U14*U17*35</f>
        <v>14805.553846153849</v>
      </c>
      <c r="V10" s="747">
        <f>V13*V16+V14*V17*35</f>
        <v>24207.08053846154</v>
      </c>
      <c r="W10" s="747">
        <f>W13*W16+W14*W17*35</f>
        <v>39578.57668038463</v>
      </c>
      <c r="X10" s="749">
        <f>W10+V10+U10+P10+C10</f>
        <v>89031.21106500002</v>
      </c>
    </row>
    <row r="11" spans="1:23" ht="31.5">
      <c r="A11" s="64" t="s">
        <v>139</v>
      </c>
      <c r="B11" s="708"/>
      <c r="C11" s="239"/>
      <c r="D11" s="228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220"/>
      <c r="P11" s="239"/>
      <c r="Q11" s="228"/>
      <c r="R11" s="153"/>
      <c r="S11" s="153"/>
      <c r="T11" s="220"/>
      <c r="U11" s="239"/>
      <c r="V11" s="239"/>
      <c r="W11" s="239"/>
    </row>
    <row r="12" spans="1:23" ht="15.75">
      <c r="A12" s="64" t="s">
        <v>109</v>
      </c>
      <c r="B12" s="709"/>
      <c r="C12" s="240"/>
      <c r="D12" s="229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221"/>
      <c r="P12" s="240"/>
      <c r="Q12" s="229"/>
      <c r="R12" s="124"/>
      <c r="S12" s="124"/>
      <c r="T12" s="221"/>
      <c r="U12" s="240"/>
      <c r="V12" s="240"/>
      <c r="W12" s="240"/>
    </row>
    <row r="13" spans="1:23" ht="15.75">
      <c r="A13" s="64" t="s">
        <v>140</v>
      </c>
      <c r="B13" s="709" t="s">
        <v>263</v>
      </c>
      <c r="C13" s="241">
        <f>SUM(D13:O13)</f>
        <v>3</v>
      </c>
      <c r="D13" s="230"/>
      <c r="E13" s="155"/>
      <c r="F13" s="155"/>
      <c r="G13" s="155"/>
      <c r="H13" s="155"/>
      <c r="I13" s="155"/>
      <c r="J13" s="155">
        <v>1</v>
      </c>
      <c r="K13" s="155"/>
      <c r="L13" s="155"/>
      <c r="M13" s="155"/>
      <c r="N13" s="155"/>
      <c r="O13" s="222">
        <v>2</v>
      </c>
      <c r="P13" s="241">
        <f>SUM(Q13:T13)</f>
        <v>18</v>
      </c>
      <c r="Q13" s="230">
        <f aca="true" t="shared" si="0" ref="Q13:W13">Q9</f>
        <v>3</v>
      </c>
      <c r="R13" s="155">
        <f t="shared" si="0"/>
        <v>4</v>
      </c>
      <c r="S13" s="155">
        <f t="shared" si="0"/>
        <v>5</v>
      </c>
      <c r="T13" s="222">
        <f t="shared" si="0"/>
        <v>6</v>
      </c>
      <c r="U13" s="241">
        <f t="shared" si="0"/>
        <v>27</v>
      </c>
      <c r="V13" s="241">
        <f t="shared" si="0"/>
        <v>40.5</v>
      </c>
      <c r="W13" s="241">
        <f t="shared" si="0"/>
        <v>60.75</v>
      </c>
    </row>
    <row r="14" spans="1:23" ht="16.5" thickBot="1">
      <c r="A14" s="63" t="s">
        <v>141</v>
      </c>
      <c r="B14" s="710" t="s">
        <v>263</v>
      </c>
      <c r="C14" s="242"/>
      <c r="D14" s="231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223"/>
      <c r="P14" s="242">
        <f>SUM(Q14:T14)</f>
        <v>0</v>
      </c>
      <c r="Q14" s="231"/>
      <c r="R14" s="156"/>
      <c r="S14" s="156"/>
      <c r="T14" s="223"/>
      <c r="U14" s="242"/>
      <c r="V14" s="242"/>
      <c r="W14" s="242"/>
    </row>
    <row r="15" spans="1:23" ht="15.75">
      <c r="A15" s="64" t="s">
        <v>142</v>
      </c>
      <c r="B15" s="711"/>
      <c r="C15" s="704"/>
      <c r="D15" s="23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224"/>
      <c r="P15" s="243"/>
      <c r="Q15" s="232"/>
      <c r="R15" s="123"/>
      <c r="S15" s="123"/>
      <c r="T15" s="224"/>
      <c r="U15" s="243"/>
      <c r="V15" s="243"/>
      <c r="W15" s="243"/>
    </row>
    <row r="16" spans="1:23" ht="15.75">
      <c r="A16" s="64" t="s">
        <v>381</v>
      </c>
      <c r="B16" s="712" t="s">
        <v>380</v>
      </c>
      <c r="C16" s="703">
        <f>C27/26*1000</f>
        <v>461.53846153846155</v>
      </c>
      <c r="D16" s="229"/>
      <c r="E16" s="124"/>
      <c r="F16" s="124"/>
      <c r="G16" s="124"/>
      <c r="H16" s="124"/>
      <c r="I16" s="124"/>
      <c r="J16" s="124">
        <f>C16</f>
        <v>461.53846153846155</v>
      </c>
      <c r="K16" s="124"/>
      <c r="L16" s="124"/>
      <c r="M16" s="155"/>
      <c r="N16" s="155"/>
      <c r="O16" s="221">
        <f>C16</f>
        <v>461.53846153846155</v>
      </c>
      <c r="P16" s="240">
        <f>O16*1.09</f>
        <v>503.07692307692315</v>
      </c>
      <c r="Q16" s="229">
        <f>P16</f>
        <v>503.07692307692315</v>
      </c>
      <c r="R16" s="124">
        <f>Q16</f>
        <v>503.07692307692315</v>
      </c>
      <c r="S16" s="124">
        <f>R16</f>
        <v>503.07692307692315</v>
      </c>
      <c r="T16" s="221">
        <f>S16</f>
        <v>503.07692307692315</v>
      </c>
      <c r="U16" s="240">
        <f>T16*1.09</f>
        <v>548.3538461538462</v>
      </c>
      <c r="V16" s="240">
        <f>U16*1.09</f>
        <v>597.7056923076924</v>
      </c>
      <c r="W16" s="240">
        <f>V16*1.09</f>
        <v>651.4992046153848</v>
      </c>
    </row>
    <row r="17" spans="1:23" ht="16.5" thickBot="1">
      <c r="A17" s="63" t="s">
        <v>141</v>
      </c>
      <c r="B17" s="713" t="s">
        <v>380</v>
      </c>
      <c r="C17" s="705"/>
      <c r="D17" s="216"/>
      <c r="E17" s="74"/>
      <c r="F17" s="74"/>
      <c r="G17" s="74"/>
      <c r="H17" s="74"/>
      <c r="I17" s="74"/>
      <c r="J17" s="74"/>
      <c r="K17" s="74"/>
      <c r="L17" s="74"/>
      <c r="M17" s="156"/>
      <c r="N17" s="156"/>
      <c r="O17" s="219"/>
      <c r="P17" s="238"/>
      <c r="Q17" s="216"/>
      <c r="R17" s="74"/>
      <c r="S17" s="74"/>
      <c r="T17" s="219"/>
      <c r="U17" s="238"/>
      <c r="V17" s="238"/>
      <c r="W17" s="238"/>
    </row>
    <row r="18" spans="1:23" ht="32.25" thickBot="1">
      <c r="A18" s="63" t="s">
        <v>382</v>
      </c>
      <c r="B18" s="715" t="s">
        <v>380</v>
      </c>
      <c r="C18" s="244"/>
      <c r="D18" s="233"/>
      <c r="E18" s="125"/>
      <c r="F18" s="125"/>
      <c r="G18" s="125"/>
      <c r="H18" s="125"/>
      <c r="I18" s="125"/>
      <c r="J18" s="125">
        <f>J13*J16</f>
        <v>461.53846153846155</v>
      </c>
      <c r="K18" s="125"/>
      <c r="L18" s="125"/>
      <c r="M18" s="162"/>
      <c r="N18" s="162"/>
      <c r="O18" s="225">
        <f>O13*O16</f>
        <v>923.0769230769231</v>
      </c>
      <c r="P18" s="244">
        <f aca="true" t="shared" si="1" ref="P18:U18">P13*P16</f>
        <v>9055.384615384617</v>
      </c>
      <c r="Q18" s="233">
        <f t="shared" si="1"/>
        <v>1509.2307692307695</v>
      </c>
      <c r="R18" s="125">
        <f t="shared" si="1"/>
        <v>2012.3076923076926</v>
      </c>
      <c r="S18" s="125">
        <f t="shared" si="1"/>
        <v>2515.3846153846157</v>
      </c>
      <c r="T18" s="225">
        <f t="shared" si="1"/>
        <v>3018.461538461539</v>
      </c>
      <c r="U18" s="244">
        <f t="shared" si="1"/>
        <v>14805.553846153849</v>
      </c>
      <c r="V18" s="244">
        <f>V13*V16</f>
        <v>24207.08053846154</v>
      </c>
      <c r="W18" s="244">
        <f>W13*W16</f>
        <v>39578.57668038463</v>
      </c>
    </row>
    <row r="19" spans="1:23" ht="32.25" thickBot="1">
      <c r="A19" s="73" t="s">
        <v>383</v>
      </c>
      <c r="B19" s="717" t="s">
        <v>380</v>
      </c>
      <c r="C19" s="245"/>
      <c r="D19" s="234"/>
      <c r="E19" s="154"/>
      <c r="F19" s="154"/>
      <c r="G19" s="154"/>
      <c r="H19" s="154"/>
      <c r="I19" s="154"/>
      <c r="J19" s="154"/>
      <c r="K19" s="154"/>
      <c r="L19" s="154"/>
      <c r="M19" s="163"/>
      <c r="N19" s="163"/>
      <c r="O19" s="226"/>
      <c r="P19" s="718">
        <f aca="true" t="shared" si="2" ref="P19:U19">P17*P14</f>
        <v>0</v>
      </c>
      <c r="Q19" s="719">
        <f t="shared" si="2"/>
        <v>0</v>
      </c>
      <c r="R19" s="163">
        <f t="shared" si="2"/>
        <v>0</v>
      </c>
      <c r="S19" s="163">
        <f t="shared" si="2"/>
        <v>0</v>
      </c>
      <c r="T19" s="720">
        <f t="shared" si="2"/>
        <v>0</v>
      </c>
      <c r="U19" s="718">
        <f t="shared" si="2"/>
        <v>0</v>
      </c>
      <c r="V19" s="718">
        <f>V17*V14</f>
        <v>0</v>
      </c>
      <c r="W19" s="718">
        <f>W17*W14</f>
        <v>0</v>
      </c>
    </row>
    <row r="20" spans="1:23" s="324" customFormat="1" ht="32.25" thickBot="1">
      <c r="A20" s="737" t="s">
        <v>384</v>
      </c>
      <c r="B20" s="738" t="s">
        <v>380</v>
      </c>
      <c r="C20" s="739">
        <f>SUM(D20:O20)</f>
        <v>1384.6153846153848</v>
      </c>
      <c r="D20" s="740"/>
      <c r="E20" s="741"/>
      <c r="F20" s="741"/>
      <c r="G20" s="741"/>
      <c r="H20" s="741"/>
      <c r="I20" s="741"/>
      <c r="J20" s="742">
        <f>J18</f>
        <v>461.53846153846155</v>
      </c>
      <c r="K20" s="741"/>
      <c r="L20" s="741"/>
      <c r="M20" s="743"/>
      <c r="N20" s="743"/>
      <c r="O20" s="744">
        <f>O18</f>
        <v>923.0769230769231</v>
      </c>
      <c r="P20" s="739">
        <f>SUM(Q20:T20)</f>
        <v>9055.384615384617</v>
      </c>
      <c r="Q20" s="740">
        <f aca="true" t="shared" si="3" ref="Q20:W20">Q18</f>
        <v>1509.2307692307695</v>
      </c>
      <c r="R20" s="741">
        <f t="shared" si="3"/>
        <v>2012.3076923076926</v>
      </c>
      <c r="S20" s="741">
        <f t="shared" si="3"/>
        <v>2515.3846153846157</v>
      </c>
      <c r="T20" s="744">
        <f t="shared" si="3"/>
        <v>3018.461538461539</v>
      </c>
      <c r="U20" s="739">
        <f t="shared" si="3"/>
        <v>14805.553846153849</v>
      </c>
      <c r="V20" s="745">
        <f t="shared" si="3"/>
        <v>24207.08053846154</v>
      </c>
      <c r="W20" s="739">
        <f t="shared" si="3"/>
        <v>39578.57668038463</v>
      </c>
    </row>
    <row r="21" spans="1:23" ht="15.75">
      <c r="A21" s="48" t="s">
        <v>12</v>
      </c>
      <c r="B21" s="716" t="s">
        <v>380</v>
      </c>
      <c r="C21" s="726">
        <f>SUM(D21:O21)</f>
        <v>211.21251629726208</v>
      </c>
      <c r="D21" s="236"/>
      <c r="E21" s="152"/>
      <c r="F21" s="152"/>
      <c r="G21" s="152"/>
      <c r="H21" s="152"/>
      <c r="I21" s="152"/>
      <c r="J21" s="153">
        <f>J20-J20/1.18</f>
        <v>70.40417209908736</v>
      </c>
      <c r="K21" s="153"/>
      <c r="L21" s="153"/>
      <c r="M21" s="153"/>
      <c r="N21" s="153"/>
      <c r="O21" s="220">
        <f>O20-O20/1.18</f>
        <v>140.80834419817472</v>
      </c>
      <c r="P21" s="239">
        <f>SUM(Q21:T21)</f>
        <v>1381.3298565840935</v>
      </c>
      <c r="Q21" s="228">
        <f aca="true" t="shared" si="4" ref="Q21:W21">Q20-Q20/1.18</f>
        <v>230.22164276401554</v>
      </c>
      <c r="R21" s="153">
        <f t="shared" si="4"/>
        <v>306.9621903520208</v>
      </c>
      <c r="S21" s="153">
        <f t="shared" si="4"/>
        <v>383.70273794002605</v>
      </c>
      <c r="T21" s="220">
        <f t="shared" si="4"/>
        <v>460.4432855280311</v>
      </c>
      <c r="U21" s="722">
        <f t="shared" si="4"/>
        <v>2258.4743155149936</v>
      </c>
      <c r="V21" s="723">
        <f t="shared" si="4"/>
        <v>3692.6055058670136</v>
      </c>
      <c r="W21" s="722">
        <f t="shared" si="4"/>
        <v>6037.410002092569</v>
      </c>
    </row>
    <row r="22" spans="1:23" ht="15.75">
      <c r="A22" s="48" t="s">
        <v>143</v>
      </c>
      <c r="B22" s="709"/>
      <c r="C22" s="240"/>
      <c r="D22" s="229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221"/>
      <c r="P22" s="240"/>
      <c r="Q22" s="229"/>
      <c r="R22" s="124"/>
      <c r="S22" s="124"/>
      <c r="T22" s="221"/>
      <c r="U22" s="240"/>
      <c r="V22" s="724"/>
      <c r="W22" s="240"/>
    </row>
    <row r="23" spans="1:23" ht="16.5" thickBot="1">
      <c r="A23" s="47" t="s">
        <v>144</v>
      </c>
      <c r="B23" s="710"/>
      <c r="C23" s="238"/>
      <c r="D23" s="216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219"/>
      <c r="P23" s="238"/>
      <c r="Q23" s="216"/>
      <c r="R23" s="74"/>
      <c r="S23" s="74"/>
      <c r="T23" s="219"/>
      <c r="U23" s="238"/>
      <c r="V23" s="725"/>
      <c r="W23" s="238"/>
    </row>
    <row r="24" ht="15.75">
      <c r="A24" s="51" t="s">
        <v>340</v>
      </c>
    </row>
    <row r="25" ht="12.75">
      <c r="A25" s="31" t="s">
        <v>296</v>
      </c>
    </row>
    <row r="26" ht="13.5" thickBot="1"/>
    <row r="27" spans="1:3" ht="13.5" thickBot="1">
      <c r="A27" s="1349" t="s">
        <v>490</v>
      </c>
      <c r="B27" s="1345" t="s">
        <v>264</v>
      </c>
      <c r="C27" s="1346">
        <v>12</v>
      </c>
    </row>
    <row r="28" spans="1:3" ht="13.5" thickBot="1">
      <c r="A28" s="1348"/>
      <c r="B28" s="721" t="s">
        <v>368</v>
      </c>
      <c r="C28" s="1347">
        <f>C27/26*1000</f>
        <v>461.53846153846155</v>
      </c>
    </row>
    <row r="29" ht="12.75">
      <c r="A29" s="31" t="s">
        <v>491</v>
      </c>
    </row>
  </sheetData>
  <mergeCells count="8">
    <mergeCell ref="A4:A6"/>
    <mergeCell ref="B4:B6"/>
    <mergeCell ref="C4:O4"/>
    <mergeCell ref="P4:T4"/>
    <mergeCell ref="C5:C6"/>
    <mergeCell ref="D5:O5"/>
    <mergeCell ref="P5:P6"/>
    <mergeCell ref="Q5:T5"/>
  </mergeCells>
  <printOptions/>
  <pageMargins left="0.25" right="0.16" top="1.68" bottom="1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60" zoomScaleNormal="60" workbookViewId="0" topLeftCell="A1">
      <pane xSplit="3810" topLeftCell="B1" activePane="topRight" state="split"/>
      <selection pane="topLeft" activeCell="A10" sqref="A10:IV10"/>
      <selection pane="topRight" activeCell="E17" sqref="E17"/>
    </sheetView>
  </sheetViews>
  <sheetFormatPr defaultColWidth="9.00390625" defaultRowHeight="12.75"/>
  <cols>
    <col min="1" max="1" width="57.00390625" style="94" customWidth="1"/>
    <col min="2" max="2" width="10.75390625" style="31" customWidth="1"/>
    <col min="3" max="3" width="10.625" style="84" customWidth="1"/>
    <col min="4" max="15" width="9.75390625" style="31" customWidth="1"/>
    <col min="16" max="16" width="10.75390625" style="84" customWidth="1"/>
    <col min="17" max="20" width="10.75390625" style="31" customWidth="1"/>
    <col min="21" max="21" width="10.75390625" style="84" customWidth="1"/>
    <col min="22" max="23" width="10.75390625" style="31" customWidth="1"/>
    <col min="24" max="16384" width="9.125" style="31" customWidth="1"/>
  </cols>
  <sheetData>
    <row r="1" spans="1:21" ht="20.25">
      <c r="A1" s="194" t="s">
        <v>148</v>
      </c>
      <c r="G1" s="84"/>
      <c r="K1" s="91" t="s">
        <v>147</v>
      </c>
      <c r="L1" s="84"/>
      <c r="P1" s="31"/>
      <c r="U1" s="31"/>
    </row>
    <row r="2" spans="1:21" ht="16.5" thickBot="1">
      <c r="A2" s="56"/>
      <c r="G2" s="84"/>
      <c r="K2" s="91"/>
      <c r="L2" s="84"/>
      <c r="P2" s="31"/>
      <c r="U2" s="31"/>
    </row>
    <row r="3" spans="1:23" ht="16.5" thickBot="1">
      <c r="A3" s="1167" t="s">
        <v>136</v>
      </c>
      <c r="B3" s="1167" t="s">
        <v>137</v>
      </c>
      <c r="C3" s="1103" t="s">
        <v>1</v>
      </c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5"/>
      <c r="P3" s="1103" t="s">
        <v>44</v>
      </c>
      <c r="Q3" s="1104"/>
      <c r="R3" s="1104"/>
      <c r="S3" s="1104"/>
      <c r="T3" s="1105"/>
      <c r="U3" s="92" t="s">
        <v>138</v>
      </c>
      <c r="V3" s="92" t="s">
        <v>317</v>
      </c>
      <c r="W3" s="92" t="s">
        <v>318</v>
      </c>
    </row>
    <row r="4" spans="1:23" ht="15.75" customHeight="1" thickBot="1">
      <c r="A4" s="1168"/>
      <c r="B4" s="1168"/>
      <c r="C4" s="1142" t="s">
        <v>319</v>
      </c>
      <c r="D4" s="1214" t="s">
        <v>292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6"/>
      <c r="P4" s="1142" t="s">
        <v>319</v>
      </c>
      <c r="Q4" s="1156" t="s">
        <v>113</v>
      </c>
      <c r="R4" s="1157"/>
      <c r="S4" s="1157"/>
      <c r="T4" s="1158"/>
      <c r="U4" s="86" t="s">
        <v>112</v>
      </c>
      <c r="V4" s="86" t="s">
        <v>112</v>
      </c>
      <c r="W4" s="86" t="s">
        <v>112</v>
      </c>
    </row>
    <row r="5" spans="1:23" ht="15.75" customHeight="1" thickBot="1">
      <c r="A5" s="1152"/>
      <c r="B5" s="1152"/>
      <c r="C5" s="1143"/>
      <c r="D5" s="38" t="s">
        <v>114</v>
      </c>
      <c r="E5" s="38" t="s">
        <v>115</v>
      </c>
      <c r="F5" s="38" t="s">
        <v>116</v>
      </c>
      <c r="G5" s="38" t="s">
        <v>117</v>
      </c>
      <c r="H5" s="38" t="s">
        <v>284</v>
      </c>
      <c r="I5" s="38" t="s">
        <v>285</v>
      </c>
      <c r="J5" s="38" t="s">
        <v>286</v>
      </c>
      <c r="K5" s="166" t="s">
        <v>287</v>
      </c>
      <c r="L5" s="168" t="s">
        <v>288</v>
      </c>
      <c r="M5" s="38" t="s">
        <v>289</v>
      </c>
      <c r="N5" s="38" t="s">
        <v>290</v>
      </c>
      <c r="O5" s="38" t="s">
        <v>291</v>
      </c>
      <c r="P5" s="1143"/>
      <c r="Q5" s="45" t="s">
        <v>114</v>
      </c>
      <c r="R5" s="50" t="s">
        <v>115</v>
      </c>
      <c r="S5" s="50" t="s">
        <v>116</v>
      </c>
      <c r="T5" s="50" t="s">
        <v>117</v>
      </c>
      <c r="U5" s="93" t="s">
        <v>320</v>
      </c>
      <c r="V5" s="93" t="s">
        <v>320</v>
      </c>
      <c r="W5" s="93" t="s">
        <v>320</v>
      </c>
    </row>
    <row r="6" spans="1:23" ht="16.5" thickBot="1">
      <c r="A6" s="46">
        <v>1</v>
      </c>
      <c r="B6" s="45">
        <v>2</v>
      </c>
      <c r="C6" s="45">
        <v>3</v>
      </c>
      <c r="D6" s="262">
        <v>4</v>
      </c>
      <c r="E6" s="263">
        <v>5</v>
      </c>
      <c r="F6" s="263">
        <v>6</v>
      </c>
      <c r="G6" s="263">
        <v>7</v>
      </c>
      <c r="H6" s="263">
        <v>8</v>
      </c>
      <c r="I6" s="263">
        <v>9</v>
      </c>
      <c r="J6" s="263">
        <v>10</v>
      </c>
      <c r="K6" s="264">
        <v>11</v>
      </c>
      <c r="L6" s="262">
        <v>12</v>
      </c>
      <c r="M6" s="263">
        <v>13</v>
      </c>
      <c r="N6" s="263">
        <v>14</v>
      </c>
      <c r="O6" s="263">
        <v>15</v>
      </c>
      <c r="P6" s="165">
        <v>16</v>
      </c>
      <c r="Q6" s="263">
        <v>17</v>
      </c>
      <c r="R6" s="263">
        <v>18</v>
      </c>
      <c r="S6" s="263">
        <v>19</v>
      </c>
      <c r="T6" s="263">
        <v>20</v>
      </c>
      <c r="U6" s="165">
        <v>21</v>
      </c>
      <c r="V6" s="165">
        <v>22</v>
      </c>
      <c r="W6" s="165">
        <v>23</v>
      </c>
    </row>
    <row r="7" spans="1:23" ht="37.5">
      <c r="A7" s="929" t="s">
        <v>425</v>
      </c>
      <c r="B7" s="260" t="s">
        <v>297</v>
      </c>
      <c r="C7" s="268">
        <f>SUM(D7:O7)</f>
        <v>148</v>
      </c>
      <c r="D7" s="921">
        <f>D8+D22+D28+D34</f>
        <v>5</v>
      </c>
      <c r="E7" s="921">
        <f aca="true" t="shared" si="0" ref="E7:O7">E8+E22+E28+E34</f>
        <v>5</v>
      </c>
      <c r="F7" s="921">
        <f t="shared" si="0"/>
        <v>6</v>
      </c>
      <c r="G7" s="921">
        <f t="shared" si="0"/>
        <v>7</v>
      </c>
      <c r="H7" s="921">
        <f t="shared" si="0"/>
        <v>7</v>
      </c>
      <c r="I7" s="921">
        <f t="shared" si="0"/>
        <v>9</v>
      </c>
      <c r="J7" s="921">
        <f t="shared" si="0"/>
        <v>9</v>
      </c>
      <c r="K7" s="921">
        <f t="shared" si="0"/>
        <v>20</v>
      </c>
      <c r="L7" s="921">
        <f t="shared" si="0"/>
        <v>20</v>
      </c>
      <c r="M7" s="921">
        <f t="shared" si="0"/>
        <v>20</v>
      </c>
      <c r="N7" s="921">
        <f t="shared" si="0"/>
        <v>20</v>
      </c>
      <c r="O7" s="921">
        <f t="shared" si="0"/>
        <v>20</v>
      </c>
      <c r="P7" s="922">
        <f aca="true" t="shared" si="1" ref="P7:U7">SUM(P8:P34)</f>
        <v>240</v>
      </c>
      <c r="Q7" s="924">
        <f t="shared" si="1"/>
        <v>30</v>
      </c>
      <c r="R7" s="921">
        <f t="shared" si="1"/>
        <v>30</v>
      </c>
      <c r="S7" s="921">
        <f t="shared" si="1"/>
        <v>30</v>
      </c>
      <c r="T7" s="925">
        <f t="shared" si="1"/>
        <v>30</v>
      </c>
      <c r="U7" s="132">
        <f t="shared" si="1"/>
        <v>272</v>
      </c>
      <c r="V7" s="926">
        <f>SUM(V8:V34)</f>
        <v>292</v>
      </c>
      <c r="W7" s="132">
        <f>SUM(W8:W34)</f>
        <v>312</v>
      </c>
    </row>
    <row r="8" spans="1:23" ht="12.75" customHeight="1">
      <c r="A8" s="64" t="s">
        <v>149</v>
      </c>
      <c r="B8" s="1147" t="s">
        <v>265</v>
      </c>
      <c r="C8" s="1101">
        <f>SUM(D8:O9)</f>
        <v>63</v>
      </c>
      <c r="D8" s="1102">
        <f>SUM(D10:D20)</f>
        <v>0</v>
      </c>
      <c r="E8" s="1151">
        <f>SUM(E10:E20)</f>
        <v>0</v>
      </c>
      <c r="F8" s="1151">
        <f aca="true" t="shared" si="2" ref="F8:T8">SUM(F10:F20)</f>
        <v>0</v>
      </c>
      <c r="G8" s="1151">
        <f t="shared" si="2"/>
        <v>1</v>
      </c>
      <c r="H8" s="1151">
        <f t="shared" si="2"/>
        <v>1</v>
      </c>
      <c r="I8" s="1151">
        <f t="shared" si="2"/>
        <v>3</v>
      </c>
      <c r="J8" s="1151">
        <f t="shared" si="2"/>
        <v>3</v>
      </c>
      <c r="K8" s="1151">
        <f t="shared" si="2"/>
        <v>11</v>
      </c>
      <c r="L8" s="1151">
        <f t="shared" si="2"/>
        <v>11</v>
      </c>
      <c r="M8" s="1151">
        <f t="shared" si="2"/>
        <v>11</v>
      </c>
      <c r="N8" s="1151">
        <f t="shared" si="2"/>
        <v>11</v>
      </c>
      <c r="O8" s="1137">
        <f t="shared" si="2"/>
        <v>11</v>
      </c>
      <c r="P8" s="1099">
        <v>120</v>
      </c>
      <c r="Q8" s="1100">
        <f t="shared" si="2"/>
        <v>0</v>
      </c>
      <c r="R8" s="1148">
        <f t="shared" si="2"/>
        <v>0</v>
      </c>
      <c r="S8" s="1148">
        <f t="shared" si="2"/>
        <v>0</v>
      </c>
      <c r="T8" s="1149">
        <f t="shared" si="2"/>
        <v>0</v>
      </c>
      <c r="U8" s="1150">
        <v>140</v>
      </c>
      <c r="V8" s="1229">
        <v>160</v>
      </c>
      <c r="W8" s="1150">
        <v>180</v>
      </c>
    </row>
    <row r="9" spans="1:23" ht="31.5">
      <c r="A9" s="259" t="s">
        <v>413</v>
      </c>
      <c r="B9" s="1147"/>
      <c r="C9" s="1101"/>
      <c r="D9" s="1102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37"/>
      <c r="P9" s="1099"/>
      <c r="Q9" s="1100"/>
      <c r="R9" s="1148"/>
      <c r="S9" s="1148"/>
      <c r="T9" s="1149"/>
      <c r="U9" s="1150"/>
      <c r="V9" s="1229"/>
      <c r="W9" s="1150"/>
    </row>
    <row r="10" spans="1:23" ht="15.75">
      <c r="A10" s="148" t="s">
        <v>423</v>
      </c>
      <c r="B10" s="255"/>
      <c r="C10" s="256"/>
      <c r="D10" s="258"/>
      <c r="E10" s="258"/>
      <c r="F10" s="258"/>
      <c r="G10" s="258">
        <v>1</v>
      </c>
      <c r="H10" s="258">
        <v>1</v>
      </c>
      <c r="I10" s="258">
        <v>1</v>
      </c>
      <c r="J10" s="258">
        <v>1</v>
      </c>
      <c r="K10" s="258">
        <v>1</v>
      </c>
      <c r="L10" s="258">
        <v>1</v>
      </c>
      <c r="M10" s="258">
        <v>1</v>
      </c>
      <c r="N10" s="258">
        <v>1</v>
      </c>
      <c r="O10" s="258">
        <v>1</v>
      </c>
      <c r="P10" s="904"/>
      <c r="Q10" s="905"/>
      <c r="R10" s="258"/>
      <c r="S10" s="258"/>
      <c r="T10" s="54"/>
      <c r="U10" s="257"/>
      <c r="V10" s="909"/>
      <c r="W10" s="257"/>
    </row>
    <row r="11" spans="1:23" ht="15.75">
      <c r="A11" s="64" t="s">
        <v>309</v>
      </c>
      <c r="B11" s="255"/>
      <c r="C11" s="256"/>
      <c r="D11" s="258"/>
      <c r="E11" s="258"/>
      <c r="F11" s="258"/>
      <c r="G11" s="258"/>
      <c r="H11" s="258"/>
      <c r="I11" s="258">
        <v>1</v>
      </c>
      <c r="J11" s="258">
        <v>1</v>
      </c>
      <c r="K11" s="258">
        <v>1</v>
      </c>
      <c r="L11" s="258">
        <v>1</v>
      </c>
      <c r="M11" s="258">
        <v>1</v>
      </c>
      <c r="N11" s="258">
        <v>1</v>
      </c>
      <c r="O11" s="258">
        <v>1</v>
      </c>
      <c r="P11" s="904"/>
      <c r="Q11" s="905"/>
      <c r="R11" s="258"/>
      <c r="S11" s="258"/>
      <c r="T11" s="54"/>
      <c r="U11" s="257"/>
      <c r="V11" s="909"/>
      <c r="W11" s="257"/>
    </row>
    <row r="12" spans="1:23" ht="15.75">
      <c r="A12" s="64" t="s">
        <v>308</v>
      </c>
      <c r="B12" s="255"/>
      <c r="C12" s="256"/>
      <c r="D12" s="258"/>
      <c r="E12" s="258"/>
      <c r="F12" s="258"/>
      <c r="G12" s="258"/>
      <c r="H12" s="258"/>
      <c r="I12" s="258">
        <v>1</v>
      </c>
      <c r="J12" s="258">
        <v>1</v>
      </c>
      <c r="K12" s="258">
        <v>1</v>
      </c>
      <c r="L12" s="258">
        <v>1</v>
      </c>
      <c r="M12" s="258">
        <v>1</v>
      </c>
      <c r="N12" s="258">
        <v>1</v>
      </c>
      <c r="O12" s="258">
        <v>1</v>
      </c>
      <c r="P12" s="904"/>
      <c r="Q12" s="905"/>
      <c r="R12" s="258"/>
      <c r="S12" s="258"/>
      <c r="T12" s="54"/>
      <c r="U12" s="257"/>
      <c r="V12" s="909"/>
      <c r="W12" s="257"/>
    </row>
    <row r="13" spans="1:23" ht="15.75">
      <c r="A13" s="64" t="s">
        <v>304</v>
      </c>
      <c r="B13" s="255"/>
      <c r="C13" s="256"/>
      <c r="D13" s="258"/>
      <c r="E13" s="258"/>
      <c r="F13" s="258"/>
      <c r="G13" s="258"/>
      <c r="H13" s="258"/>
      <c r="I13" s="258"/>
      <c r="J13" s="258"/>
      <c r="K13" s="258">
        <v>1</v>
      </c>
      <c r="L13" s="258">
        <v>1</v>
      </c>
      <c r="M13" s="258">
        <v>1</v>
      </c>
      <c r="N13" s="258">
        <v>1</v>
      </c>
      <c r="O13" s="258">
        <v>1</v>
      </c>
      <c r="P13" s="904"/>
      <c r="Q13" s="905"/>
      <c r="R13" s="258"/>
      <c r="S13" s="258"/>
      <c r="T13" s="54"/>
      <c r="U13" s="257"/>
      <c r="V13" s="909"/>
      <c r="W13" s="257"/>
    </row>
    <row r="14" spans="1:23" ht="15.75">
      <c r="A14" s="64" t="s">
        <v>307</v>
      </c>
      <c r="B14" s="255"/>
      <c r="C14" s="256"/>
      <c r="D14" s="258"/>
      <c r="E14" s="258"/>
      <c r="F14" s="258"/>
      <c r="G14" s="258"/>
      <c r="H14" s="258"/>
      <c r="I14" s="258"/>
      <c r="J14" s="258"/>
      <c r="K14" s="258">
        <v>1</v>
      </c>
      <c r="L14" s="258">
        <v>1</v>
      </c>
      <c r="M14" s="258">
        <v>1</v>
      </c>
      <c r="N14" s="258">
        <v>1</v>
      </c>
      <c r="O14" s="258">
        <v>1</v>
      </c>
      <c r="P14" s="904"/>
      <c r="Q14" s="905"/>
      <c r="R14" s="258"/>
      <c r="S14" s="258"/>
      <c r="T14" s="54"/>
      <c r="U14" s="257"/>
      <c r="V14" s="909"/>
      <c r="W14" s="257"/>
    </row>
    <row r="15" spans="1:23" ht="15.75">
      <c r="A15" s="64" t="s">
        <v>303</v>
      </c>
      <c r="B15" s="255"/>
      <c r="C15" s="256"/>
      <c r="D15" s="258"/>
      <c r="E15" s="258"/>
      <c r="F15" s="258"/>
      <c r="G15" s="258"/>
      <c r="H15" s="258"/>
      <c r="I15" s="258"/>
      <c r="J15" s="258"/>
      <c r="K15" s="258">
        <v>1</v>
      </c>
      <c r="L15" s="258">
        <v>1</v>
      </c>
      <c r="M15" s="258">
        <v>1</v>
      </c>
      <c r="N15" s="258">
        <v>1</v>
      </c>
      <c r="O15" s="258">
        <v>1</v>
      </c>
      <c r="P15" s="904"/>
      <c r="Q15" s="905"/>
      <c r="R15" s="258"/>
      <c r="S15" s="258"/>
      <c r="T15" s="54"/>
      <c r="U15" s="257"/>
      <c r="V15" s="909"/>
      <c r="W15" s="257"/>
    </row>
    <row r="16" spans="1:23" ht="15.75">
      <c r="A16" s="64" t="s">
        <v>305</v>
      </c>
      <c r="B16" s="255"/>
      <c r="C16" s="256"/>
      <c r="D16" s="258"/>
      <c r="E16" s="258"/>
      <c r="F16" s="258"/>
      <c r="G16" s="258"/>
      <c r="H16" s="258"/>
      <c r="I16" s="258"/>
      <c r="J16" s="258"/>
      <c r="K16" s="258">
        <v>1</v>
      </c>
      <c r="L16" s="258">
        <v>1</v>
      </c>
      <c r="M16" s="258">
        <v>1</v>
      </c>
      <c r="N16" s="258">
        <v>1</v>
      </c>
      <c r="O16" s="258">
        <v>1</v>
      </c>
      <c r="P16" s="904"/>
      <c r="Q16" s="905"/>
      <c r="R16" s="258"/>
      <c r="S16" s="258"/>
      <c r="T16" s="54"/>
      <c r="U16" s="257"/>
      <c r="V16" s="909"/>
      <c r="W16" s="257"/>
    </row>
    <row r="17" spans="1:23" ht="15.75">
      <c r="A17" s="64" t="s">
        <v>300</v>
      </c>
      <c r="B17" s="255"/>
      <c r="C17" s="256"/>
      <c r="D17" s="258"/>
      <c r="E17" s="258"/>
      <c r="F17" s="258"/>
      <c r="G17" s="258"/>
      <c r="H17" s="258"/>
      <c r="I17" s="258"/>
      <c r="J17" s="258"/>
      <c r="K17" s="258">
        <v>1</v>
      </c>
      <c r="L17" s="258">
        <v>1</v>
      </c>
      <c r="M17" s="258">
        <v>1</v>
      </c>
      <c r="N17" s="258">
        <v>1</v>
      </c>
      <c r="O17" s="258">
        <v>1</v>
      </c>
      <c r="P17" s="904"/>
      <c r="Q17" s="905"/>
      <c r="R17" s="258"/>
      <c r="S17" s="258"/>
      <c r="T17" s="54"/>
      <c r="U17" s="257"/>
      <c r="V17" s="909"/>
      <c r="W17" s="257"/>
    </row>
    <row r="18" spans="1:23" ht="15.75">
      <c r="A18" s="64" t="s">
        <v>302</v>
      </c>
      <c r="B18" s="255"/>
      <c r="C18" s="256"/>
      <c r="D18" s="258"/>
      <c r="E18" s="258"/>
      <c r="F18" s="258"/>
      <c r="G18" s="258"/>
      <c r="H18" s="258"/>
      <c r="I18" s="258"/>
      <c r="J18" s="258"/>
      <c r="K18" s="258">
        <v>1</v>
      </c>
      <c r="L18" s="258">
        <v>1</v>
      </c>
      <c r="M18" s="258">
        <v>1</v>
      </c>
      <c r="N18" s="258">
        <v>1</v>
      </c>
      <c r="O18" s="258">
        <v>1</v>
      </c>
      <c r="P18" s="904"/>
      <c r="Q18" s="905"/>
      <c r="R18" s="258"/>
      <c r="S18" s="258"/>
      <c r="T18" s="54"/>
      <c r="U18" s="257"/>
      <c r="V18" s="909"/>
      <c r="W18" s="257"/>
    </row>
    <row r="19" spans="1:23" ht="15.75">
      <c r="A19" s="64" t="s">
        <v>301</v>
      </c>
      <c r="B19" s="255"/>
      <c r="C19" s="256"/>
      <c r="D19" s="258"/>
      <c r="E19" s="258"/>
      <c r="F19" s="258"/>
      <c r="G19" s="258"/>
      <c r="H19" s="258"/>
      <c r="I19" s="258"/>
      <c r="J19" s="258"/>
      <c r="K19" s="258">
        <v>1</v>
      </c>
      <c r="L19" s="258">
        <v>1</v>
      </c>
      <c r="M19" s="258">
        <v>1</v>
      </c>
      <c r="N19" s="258">
        <v>1</v>
      </c>
      <c r="O19" s="258">
        <v>1</v>
      </c>
      <c r="P19" s="904"/>
      <c r="Q19" s="905"/>
      <c r="R19" s="258"/>
      <c r="S19" s="258"/>
      <c r="T19" s="54"/>
      <c r="U19" s="257"/>
      <c r="V19" s="909"/>
      <c r="W19" s="257"/>
    </row>
    <row r="20" spans="1:23" ht="15.75">
      <c r="A20" s="64" t="s">
        <v>306</v>
      </c>
      <c r="B20" s="255"/>
      <c r="C20" s="256"/>
      <c r="D20" s="258"/>
      <c r="E20" s="258"/>
      <c r="F20" s="258"/>
      <c r="G20" s="258"/>
      <c r="H20" s="258"/>
      <c r="I20" s="258"/>
      <c r="J20" s="258"/>
      <c r="K20" s="258">
        <v>1</v>
      </c>
      <c r="L20" s="258">
        <v>1</v>
      </c>
      <c r="M20" s="258">
        <v>1</v>
      </c>
      <c r="N20" s="258">
        <v>1</v>
      </c>
      <c r="O20" s="258">
        <v>1</v>
      </c>
      <c r="P20" s="904"/>
      <c r="Q20" s="905"/>
      <c r="R20" s="258"/>
      <c r="S20" s="258"/>
      <c r="T20" s="54"/>
      <c r="U20" s="257"/>
      <c r="V20" s="909"/>
      <c r="W20" s="257"/>
    </row>
    <row r="21" spans="1:23" ht="8.25" customHeight="1">
      <c r="A21" s="64"/>
      <c r="B21" s="255"/>
      <c r="C21" s="25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904"/>
      <c r="Q21" s="905"/>
      <c r="R21" s="258"/>
      <c r="S21" s="258"/>
      <c r="T21" s="54"/>
      <c r="U21" s="257"/>
      <c r="V21" s="909"/>
      <c r="W21" s="257"/>
    </row>
    <row r="22" spans="1:23" ht="31.5">
      <c r="A22" s="259" t="s">
        <v>412</v>
      </c>
      <c r="B22" s="255" t="s">
        <v>265</v>
      </c>
      <c r="C22" s="256">
        <f>SUM(D22:O22)</f>
        <v>32</v>
      </c>
      <c r="D22" s="907">
        <f>SUM(D23:D26)</f>
        <v>1</v>
      </c>
      <c r="E22" s="910">
        <f aca="true" t="shared" si="3" ref="E22:O22">SUM(E23:E26)</f>
        <v>1</v>
      </c>
      <c r="F22" s="910">
        <f t="shared" si="3"/>
        <v>2</v>
      </c>
      <c r="G22" s="910">
        <f t="shared" si="3"/>
        <v>2</v>
      </c>
      <c r="H22" s="910">
        <f t="shared" si="3"/>
        <v>2</v>
      </c>
      <c r="I22" s="910">
        <f t="shared" si="3"/>
        <v>2</v>
      </c>
      <c r="J22" s="910">
        <f t="shared" si="3"/>
        <v>2</v>
      </c>
      <c r="K22" s="910">
        <f t="shared" si="3"/>
        <v>4</v>
      </c>
      <c r="L22" s="910">
        <f t="shared" si="3"/>
        <v>4</v>
      </c>
      <c r="M22" s="910">
        <f t="shared" si="3"/>
        <v>4</v>
      </c>
      <c r="N22" s="910">
        <f t="shared" si="3"/>
        <v>4</v>
      </c>
      <c r="O22" s="908">
        <f t="shared" si="3"/>
        <v>4</v>
      </c>
      <c r="P22" s="904">
        <f>SUM(Q22:T22)</f>
        <v>48</v>
      </c>
      <c r="Q22" s="905">
        <f>O22*3</f>
        <v>12</v>
      </c>
      <c r="R22" s="258">
        <f>Q22</f>
        <v>12</v>
      </c>
      <c r="S22" s="258">
        <f>R22</f>
        <v>12</v>
      </c>
      <c r="T22" s="54">
        <f>S22</f>
        <v>12</v>
      </c>
      <c r="U22" s="257">
        <f>P22</f>
        <v>48</v>
      </c>
      <c r="V22" s="909">
        <f>U22</f>
        <v>48</v>
      </c>
      <c r="W22" s="257">
        <f>V22</f>
        <v>48</v>
      </c>
    </row>
    <row r="23" spans="1:23" ht="15.75">
      <c r="A23" s="64" t="s">
        <v>419</v>
      </c>
      <c r="B23" s="255"/>
      <c r="C23" s="256"/>
      <c r="D23" s="258"/>
      <c r="E23" s="258"/>
      <c r="F23" s="258">
        <v>1</v>
      </c>
      <c r="G23" s="258">
        <v>1</v>
      </c>
      <c r="H23" s="258">
        <v>1</v>
      </c>
      <c r="I23" s="258">
        <v>1</v>
      </c>
      <c r="J23" s="258">
        <v>1</v>
      </c>
      <c r="K23" s="258">
        <v>1</v>
      </c>
      <c r="L23" s="258">
        <v>1</v>
      </c>
      <c r="M23" s="258">
        <v>1</v>
      </c>
      <c r="N23" s="258">
        <v>1</v>
      </c>
      <c r="O23" s="258">
        <v>1</v>
      </c>
      <c r="P23" s="904"/>
      <c r="Q23" s="905"/>
      <c r="R23" s="258"/>
      <c r="S23" s="258"/>
      <c r="T23" s="54"/>
      <c r="U23" s="257"/>
      <c r="V23" s="909"/>
      <c r="W23" s="257"/>
    </row>
    <row r="24" spans="1:23" ht="15.75">
      <c r="A24" s="64" t="s">
        <v>315</v>
      </c>
      <c r="B24" s="255"/>
      <c r="C24" s="256"/>
      <c r="D24" s="258"/>
      <c r="E24" s="258"/>
      <c r="F24" s="258"/>
      <c r="G24" s="258"/>
      <c r="H24" s="258"/>
      <c r="I24" s="258"/>
      <c r="J24" s="258"/>
      <c r="K24" s="258">
        <v>1</v>
      </c>
      <c r="L24" s="258">
        <v>1</v>
      </c>
      <c r="M24" s="258">
        <v>1</v>
      </c>
      <c r="N24" s="258">
        <v>1</v>
      </c>
      <c r="O24" s="258">
        <v>1</v>
      </c>
      <c r="P24" s="904"/>
      <c r="Q24" s="905"/>
      <c r="R24" s="258"/>
      <c r="S24" s="258"/>
      <c r="T24" s="54"/>
      <c r="U24" s="257"/>
      <c r="V24" s="909"/>
      <c r="W24" s="257"/>
    </row>
    <row r="25" spans="1:23" ht="15.75">
      <c r="A25" s="148" t="s">
        <v>314</v>
      </c>
      <c r="B25" s="255"/>
      <c r="C25" s="256"/>
      <c r="D25" s="258"/>
      <c r="E25" s="258"/>
      <c r="F25" s="258"/>
      <c r="G25" s="258"/>
      <c r="H25" s="258"/>
      <c r="I25" s="258"/>
      <c r="J25" s="258"/>
      <c r="K25" s="258">
        <v>1</v>
      </c>
      <c r="L25" s="258">
        <v>1</v>
      </c>
      <c r="M25" s="258">
        <v>1</v>
      </c>
      <c r="N25" s="258">
        <v>1</v>
      </c>
      <c r="O25" s="258">
        <v>1</v>
      </c>
      <c r="P25" s="904"/>
      <c r="Q25" s="905"/>
      <c r="R25" s="258"/>
      <c r="S25" s="258"/>
      <c r="T25" s="54"/>
      <c r="U25" s="257"/>
      <c r="V25" s="909"/>
      <c r="W25" s="257"/>
    </row>
    <row r="26" spans="1:23" ht="15.75">
      <c r="A26" s="33" t="s">
        <v>311</v>
      </c>
      <c r="B26" s="255"/>
      <c r="C26" s="256"/>
      <c r="D26" s="258">
        <v>1</v>
      </c>
      <c r="E26" s="258">
        <v>1</v>
      </c>
      <c r="F26" s="258">
        <v>1</v>
      </c>
      <c r="G26" s="258">
        <v>1</v>
      </c>
      <c r="H26" s="258">
        <v>1</v>
      </c>
      <c r="I26" s="258">
        <v>1</v>
      </c>
      <c r="J26" s="258">
        <v>1</v>
      </c>
      <c r="K26" s="258">
        <v>1</v>
      </c>
      <c r="L26" s="258">
        <v>1</v>
      </c>
      <c r="M26" s="258">
        <v>1</v>
      </c>
      <c r="N26" s="258">
        <v>1</v>
      </c>
      <c r="O26" s="258">
        <v>1</v>
      </c>
      <c r="P26" s="904"/>
      <c r="Q26" s="905"/>
      <c r="R26" s="258"/>
      <c r="S26" s="258"/>
      <c r="T26" s="54"/>
      <c r="U26" s="257"/>
      <c r="V26" s="909"/>
      <c r="W26" s="257"/>
    </row>
    <row r="27" spans="1:23" ht="6.75" customHeight="1">
      <c r="A27" s="33"/>
      <c r="B27" s="255"/>
      <c r="C27" s="256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904"/>
      <c r="Q27" s="905"/>
      <c r="R27" s="258"/>
      <c r="S27" s="258"/>
      <c r="T27" s="54"/>
      <c r="U27" s="257"/>
      <c r="V27" s="909"/>
      <c r="W27" s="257"/>
    </row>
    <row r="28" spans="1:23" ht="15.75">
      <c r="A28" s="259" t="s">
        <v>414</v>
      </c>
      <c r="B28" s="255" t="s">
        <v>265</v>
      </c>
      <c r="C28" s="256">
        <f>SUM(D28:O28)</f>
        <v>48</v>
      </c>
      <c r="D28" s="907">
        <f>SUM(D29:D32)</f>
        <v>4</v>
      </c>
      <c r="E28" s="910">
        <f aca="true" t="shared" si="4" ref="E28:O28">SUM(E29:E32)</f>
        <v>4</v>
      </c>
      <c r="F28" s="910">
        <f t="shared" si="4"/>
        <v>4</v>
      </c>
      <c r="G28" s="910">
        <f t="shared" si="4"/>
        <v>4</v>
      </c>
      <c r="H28" s="910">
        <f t="shared" si="4"/>
        <v>4</v>
      </c>
      <c r="I28" s="910">
        <f t="shared" si="4"/>
        <v>4</v>
      </c>
      <c r="J28" s="910">
        <f t="shared" si="4"/>
        <v>4</v>
      </c>
      <c r="K28" s="910">
        <f t="shared" si="4"/>
        <v>4</v>
      </c>
      <c r="L28" s="910">
        <f t="shared" si="4"/>
        <v>4</v>
      </c>
      <c r="M28" s="910">
        <f t="shared" si="4"/>
        <v>4</v>
      </c>
      <c r="N28" s="910">
        <f t="shared" si="4"/>
        <v>4</v>
      </c>
      <c r="O28" s="908">
        <f t="shared" si="4"/>
        <v>4</v>
      </c>
      <c r="P28" s="904">
        <f>SUM(Q28:T28)</f>
        <v>48</v>
      </c>
      <c r="Q28" s="905">
        <f>O28*3</f>
        <v>12</v>
      </c>
      <c r="R28" s="258">
        <f>Q28</f>
        <v>12</v>
      </c>
      <c r="S28" s="258">
        <f>R28</f>
        <v>12</v>
      </c>
      <c r="T28" s="54">
        <f>S28</f>
        <v>12</v>
      </c>
      <c r="U28" s="257">
        <f>P28</f>
        <v>48</v>
      </c>
      <c r="V28" s="909">
        <f>U28</f>
        <v>48</v>
      </c>
      <c r="W28" s="257">
        <f>V28</f>
        <v>48</v>
      </c>
    </row>
    <row r="29" spans="1:23" ht="15.75">
      <c r="A29" s="64" t="s">
        <v>310</v>
      </c>
      <c r="B29" s="255"/>
      <c r="C29" s="256"/>
      <c r="D29" s="258">
        <v>1</v>
      </c>
      <c r="E29" s="258">
        <v>1</v>
      </c>
      <c r="F29" s="258">
        <v>1</v>
      </c>
      <c r="G29" s="258">
        <v>1</v>
      </c>
      <c r="H29" s="258">
        <v>1</v>
      </c>
      <c r="I29" s="258">
        <v>1</v>
      </c>
      <c r="J29" s="258">
        <v>1</v>
      </c>
      <c r="K29" s="258">
        <v>1</v>
      </c>
      <c r="L29" s="258">
        <v>1</v>
      </c>
      <c r="M29" s="258">
        <v>1</v>
      </c>
      <c r="N29" s="258">
        <v>1</v>
      </c>
      <c r="O29" s="258">
        <v>1</v>
      </c>
      <c r="P29" s="904"/>
      <c r="Q29" s="905"/>
      <c r="R29" s="258"/>
      <c r="S29" s="258"/>
      <c r="T29" s="54"/>
      <c r="U29" s="257"/>
      <c r="V29" s="909"/>
      <c r="W29" s="257"/>
    </row>
    <row r="30" spans="1:23" ht="15.75">
      <c r="A30" s="64" t="s">
        <v>416</v>
      </c>
      <c r="B30" s="255"/>
      <c r="C30" s="256"/>
      <c r="D30" s="258">
        <v>1</v>
      </c>
      <c r="E30" s="258">
        <v>1</v>
      </c>
      <c r="F30" s="258">
        <v>1</v>
      </c>
      <c r="G30" s="258">
        <v>1</v>
      </c>
      <c r="H30" s="258">
        <v>1</v>
      </c>
      <c r="I30" s="258">
        <v>1</v>
      </c>
      <c r="J30" s="258">
        <v>1</v>
      </c>
      <c r="K30" s="258">
        <v>1</v>
      </c>
      <c r="L30" s="258">
        <v>1</v>
      </c>
      <c r="M30" s="258">
        <v>1</v>
      </c>
      <c r="N30" s="258">
        <v>1</v>
      </c>
      <c r="O30" s="258">
        <v>1</v>
      </c>
      <c r="P30" s="904"/>
      <c r="Q30" s="905"/>
      <c r="R30" s="258"/>
      <c r="S30" s="258"/>
      <c r="T30" s="54"/>
      <c r="U30" s="257"/>
      <c r="V30" s="909"/>
      <c r="W30" s="257"/>
    </row>
    <row r="31" spans="1:23" ht="15.75">
      <c r="A31" s="64" t="s">
        <v>417</v>
      </c>
      <c r="B31" s="255"/>
      <c r="C31" s="256"/>
      <c r="D31" s="258">
        <v>1</v>
      </c>
      <c r="E31" s="258">
        <v>1</v>
      </c>
      <c r="F31" s="258">
        <v>1</v>
      </c>
      <c r="G31" s="258">
        <v>1</v>
      </c>
      <c r="H31" s="258">
        <v>1</v>
      </c>
      <c r="I31" s="258">
        <v>1</v>
      </c>
      <c r="J31" s="258">
        <v>1</v>
      </c>
      <c r="K31" s="258">
        <v>1</v>
      </c>
      <c r="L31" s="258">
        <v>1</v>
      </c>
      <c r="M31" s="258">
        <v>1</v>
      </c>
      <c r="N31" s="258">
        <v>1</v>
      </c>
      <c r="O31" s="258">
        <v>1</v>
      </c>
      <c r="P31" s="904"/>
      <c r="Q31" s="905"/>
      <c r="R31" s="258"/>
      <c r="S31" s="258"/>
      <c r="T31" s="54"/>
      <c r="U31" s="257"/>
      <c r="V31" s="909"/>
      <c r="W31" s="257"/>
    </row>
    <row r="32" spans="1:23" ht="15.75">
      <c r="A32" s="64" t="s">
        <v>312</v>
      </c>
      <c r="B32" s="255"/>
      <c r="C32" s="256"/>
      <c r="D32" s="258">
        <v>1</v>
      </c>
      <c r="E32" s="258">
        <v>1</v>
      </c>
      <c r="F32" s="258">
        <v>1</v>
      </c>
      <c r="G32" s="258">
        <v>1</v>
      </c>
      <c r="H32" s="258">
        <v>1</v>
      </c>
      <c r="I32" s="258">
        <v>1</v>
      </c>
      <c r="J32" s="258">
        <v>1</v>
      </c>
      <c r="K32" s="258">
        <v>1</v>
      </c>
      <c r="L32" s="258">
        <v>1</v>
      </c>
      <c r="M32" s="258">
        <v>1</v>
      </c>
      <c r="N32" s="258">
        <v>1</v>
      </c>
      <c r="O32" s="258">
        <v>1</v>
      </c>
      <c r="P32" s="904"/>
      <c r="Q32" s="905"/>
      <c r="R32" s="258"/>
      <c r="S32" s="258"/>
      <c r="T32" s="54"/>
      <c r="U32" s="257"/>
      <c r="V32" s="909"/>
      <c r="W32" s="257"/>
    </row>
    <row r="33" spans="1:23" ht="6" customHeight="1">
      <c r="A33" s="64"/>
      <c r="B33" s="255"/>
      <c r="C33" s="256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904"/>
      <c r="Q33" s="905"/>
      <c r="R33" s="258"/>
      <c r="S33" s="258"/>
      <c r="T33" s="54"/>
      <c r="U33" s="257"/>
      <c r="V33" s="909"/>
      <c r="W33" s="257"/>
    </row>
    <row r="34" spans="1:23" ht="15.75">
      <c r="A34" s="259" t="s">
        <v>415</v>
      </c>
      <c r="B34" s="255" t="s">
        <v>265</v>
      </c>
      <c r="C34" s="256">
        <f>SUM(D34:O34)</f>
        <v>5</v>
      </c>
      <c r="D34" s="267">
        <f>SUM(D35)</f>
        <v>0</v>
      </c>
      <c r="E34" s="267">
        <f aca="true" t="shared" si="5" ref="E34:O34">SUM(E35)</f>
        <v>0</v>
      </c>
      <c r="F34" s="267">
        <f t="shared" si="5"/>
        <v>0</v>
      </c>
      <c r="G34" s="267">
        <f t="shared" si="5"/>
        <v>0</v>
      </c>
      <c r="H34" s="267">
        <f t="shared" si="5"/>
        <v>0</v>
      </c>
      <c r="I34" s="267">
        <f t="shared" si="5"/>
        <v>0</v>
      </c>
      <c r="J34" s="267">
        <f t="shared" si="5"/>
        <v>0</v>
      </c>
      <c r="K34" s="267">
        <f t="shared" si="5"/>
        <v>1</v>
      </c>
      <c r="L34" s="267">
        <f t="shared" si="5"/>
        <v>1</v>
      </c>
      <c r="M34" s="267">
        <f t="shared" si="5"/>
        <v>1</v>
      </c>
      <c r="N34" s="267">
        <f t="shared" si="5"/>
        <v>1</v>
      </c>
      <c r="O34" s="267">
        <f t="shared" si="5"/>
        <v>1</v>
      </c>
      <c r="P34" s="904">
        <f>SUM(Q34:T34)</f>
        <v>24</v>
      </c>
      <c r="Q34" s="905">
        <v>6</v>
      </c>
      <c r="R34" s="258">
        <v>6</v>
      </c>
      <c r="S34" s="258">
        <v>6</v>
      </c>
      <c r="T34" s="54">
        <v>6</v>
      </c>
      <c r="U34" s="257">
        <f>3*12</f>
        <v>36</v>
      </c>
      <c r="V34" s="909">
        <f>3*12</f>
        <v>36</v>
      </c>
      <c r="W34" s="257">
        <f>3*12</f>
        <v>36</v>
      </c>
    </row>
    <row r="35" spans="1:23" ht="16.5" thickBot="1">
      <c r="A35" s="64" t="s">
        <v>313</v>
      </c>
      <c r="B35" s="261"/>
      <c r="C35" s="269"/>
      <c r="D35" s="266"/>
      <c r="E35" s="266"/>
      <c r="F35" s="266"/>
      <c r="G35" s="266"/>
      <c r="H35" s="266"/>
      <c r="I35" s="266"/>
      <c r="J35" s="266"/>
      <c r="K35" s="266">
        <v>1</v>
      </c>
      <c r="L35" s="266">
        <v>1</v>
      </c>
      <c r="M35" s="266">
        <v>1</v>
      </c>
      <c r="N35" s="266">
        <v>1</v>
      </c>
      <c r="O35" s="266">
        <v>1</v>
      </c>
      <c r="P35" s="923"/>
      <c r="Q35" s="265"/>
      <c r="R35" s="266"/>
      <c r="S35" s="266"/>
      <c r="T35" s="76"/>
      <c r="U35" s="271"/>
      <c r="V35" s="909"/>
      <c r="W35" s="271"/>
    </row>
    <row r="36" spans="1:23" ht="38.25" thickBot="1">
      <c r="A36" s="927" t="s">
        <v>150</v>
      </c>
      <c r="B36" s="850"/>
      <c r="C36" s="87"/>
      <c r="D36" s="258"/>
      <c r="E36" s="265"/>
      <c r="F36" s="265"/>
      <c r="G36" s="265"/>
      <c r="H36" s="261"/>
      <c r="I36" s="266"/>
      <c r="J36" s="261"/>
      <c r="K36" s="266"/>
      <c r="L36" s="261"/>
      <c r="M36" s="76"/>
      <c r="N36" s="76"/>
      <c r="O36" s="76"/>
      <c r="P36" s="87"/>
      <c r="Q36" s="76"/>
      <c r="R36" s="76"/>
      <c r="S36" s="76"/>
      <c r="T36" s="76"/>
      <c r="U36" s="87"/>
      <c r="V36" s="87"/>
      <c r="W36" s="87"/>
    </row>
    <row r="37" spans="1:23" ht="47.25">
      <c r="A37" s="49" t="s">
        <v>408</v>
      </c>
      <c r="B37" s="54"/>
      <c r="C37" s="270">
        <f>SUM(D37:O37)</f>
        <v>95.256</v>
      </c>
      <c r="D37" s="80">
        <f aca="true" t="shared" si="6" ref="D37:O37">D39+D40</f>
        <v>0</v>
      </c>
      <c r="E37" s="80">
        <f t="shared" si="6"/>
        <v>0</v>
      </c>
      <c r="F37" s="80">
        <f t="shared" si="6"/>
        <v>0</v>
      </c>
      <c r="G37" s="80">
        <f t="shared" si="6"/>
        <v>1.512</v>
      </c>
      <c r="H37" s="80">
        <f t="shared" si="6"/>
        <v>1.512</v>
      </c>
      <c r="I37" s="80">
        <f t="shared" si="6"/>
        <v>4.536</v>
      </c>
      <c r="J37" s="80">
        <f t="shared" si="6"/>
        <v>4.536</v>
      </c>
      <c r="K37" s="80">
        <f t="shared" si="6"/>
        <v>16.631999999999998</v>
      </c>
      <c r="L37" s="80">
        <f t="shared" si="6"/>
        <v>16.631999999999998</v>
      </c>
      <c r="M37" s="80">
        <f t="shared" si="6"/>
        <v>16.631999999999998</v>
      </c>
      <c r="N37" s="80">
        <f t="shared" si="6"/>
        <v>16.631999999999998</v>
      </c>
      <c r="O37" s="80">
        <f t="shared" si="6"/>
        <v>16.631999999999998</v>
      </c>
      <c r="P37" s="88">
        <f>SUM(Q37:T37)</f>
        <v>0</v>
      </c>
      <c r="Q37" s="80">
        <f aca="true" t="shared" si="7" ref="Q37:W37">Q39+Q40</f>
        <v>0</v>
      </c>
      <c r="R37" s="77">
        <f t="shared" si="7"/>
        <v>0</v>
      </c>
      <c r="S37" s="77">
        <f t="shared" si="7"/>
        <v>0</v>
      </c>
      <c r="T37" s="77">
        <f t="shared" si="7"/>
        <v>0</v>
      </c>
      <c r="U37" s="88">
        <f t="shared" si="7"/>
        <v>203.53846153846155</v>
      </c>
      <c r="V37" s="88">
        <f t="shared" si="7"/>
        <v>232.61538461538458</v>
      </c>
      <c r="W37" s="88">
        <f t="shared" si="7"/>
        <v>261.6923076923077</v>
      </c>
    </row>
    <row r="38" spans="1:23" ht="15.75">
      <c r="A38" s="48" t="s">
        <v>149</v>
      </c>
      <c r="B38" s="1147" t="s">
        <v>367</v>
      </c>
      <c r="C38" s="90"/>
      <c r="D38" s="81"/>
      <c r="E38" s="79"/>
      <c r="F38" s="81"/>
      <c r="G38" s="79"/>
      <c r="H38" s="81"/>
      <c r="I38" s="79"/>
      <c r="J38" s="81"/>
      <c r="K38" s="79"/>
      <c r="L38" s="81"/>
      <c r="M38" s="77"/>
      <c r="N38" s="77"/>
      <c r="O38" s="77"/>
      <c r="P38" s="88"/>
      <c r="Q38" s="81"/>
      <c r="R38" s="77"/>
      <c r="S38" s="77"/>
      <c r="T38" s="77"/>
      <c r="U38" s="88"/>
      <c r="V38" s="88"/>
      <c r="W38" s="88"/>
    </row>
    <row r="39" spans="1:23" ht="15.75">
      <c r="A39" s="48" t="s">
        <v>421</v>
      </c>
      <c r="B39" s="1147"/>
      <c r="C39" s="90">
        <f>SUM(D39:O39)</f>
        <v>75.60000000000001</v>
      </c>
      <c r="D39" s="81">
        <f>1.2*D8</f>
        <v>0</v>
      </c>
      <c r="E39" s="81">
        <f aca="true" t="shared" si="8" ref="E39:O39">1.2*E8</f>
        <v>0</v>
      </c>
      <c r="F39" s="81">
        <f t="shared" si="8"/>
        <v>0</v>
      </c>
      <c r="G39" s="81">
        <f t="shared" si="8"/>
        <v>1.2</v>
      </c>
      <c r="H39" s="81">
        <f t="shared" si="8"/>
        <v>1.2</v>
      </c>
      <c r="I39" s="81">
        <f t="shared" si="8"/>
        <v>3.5999999999999996</v>
      </c>
      <c r="J39" s="81">
        <f t="shared" si="8"/>
        <v>3.5999999999999996</v>
      </c>
      <c r="K39" s="81">
        <f t="shared" si="8"/>
        <v>13.2</v>
      </c>
      <c r="L39" s="81">
        <f t="shared" si="8"/>
        <v>13.2</v>
      </c>
      <c r="M39" s="81">
        <f t="shared" si="8"/>
        <v>13.2</v>
      </c>
      <c r="N39" s="81">
        <f t="shared" si="8"/>
        <v>13.2</v>
      </c>
      <c r="O39" s="81">
        <f t="shared" si="8"/>
        <v>13.2</v>
      </c>
      <c r="P39" s="90">
        <f>SUM(Q39:T39)</f>
        <v>0</v>
      </c>
      <c r="Q39" s="81">
        <f aca="true" t="shared" si="9" ref="Q39:W39">0.03*Q8/26*1000</f>
        <v>0</v>
      </c>
      <c r="R39" s="81">
        <f t="shared" si="9"/>
        <v>0</v>
      </c>
      <c r="S39" s="81">
        <f t="shared" si="9"/>
        <v>0</v>
      </c>
      <c r="T39" s="81">
        <f t="shared" si="9"/>
        <v>0</v>
      </c>
      <c r="U39" s="90">
        <f t="shared" si="9"/>
        <v>161.53846153846155</v>
      </c>
      <c r="V39" s="90">
        <f t="shared" si="9"/>
        <v>184.61538461538458</v>
      </c>
      <c r="W39" s="90">
        <f t="shared" si="9"/>
        <v>207.69230769230768</v>
      </c>
    </row>
    <row r="40" spans="1:23" ht="16.5" thickBot="1">
      <c r="A40" s="47" t="s">
        <v>152</v>
      </c>
      <c r="B40" s="76" t="s">
        <v>367</v>
      </c>
      <c r="C40" s="98">
        <f>SUM(D40:O40)</f>
        <v>19.656</v>
      </c>
      <c r="D40" s="83">
        <f aca="true" t="shared" si="10" ref="D40:J40">D39*0.26</f>
        <v>0</v>
      </c>
      <c r="E40" s="83">
        <f t="shared" si="10"/>
        <v>0</v>
      </c>
      <c r="F40" s="83">
        <f t="shared" si="10"/>
        <v>0</v>
      </c>
      <c r="G40" s="83">
        <f t="shared" si="10"/>
        <v>0.312</v>
      </c>
      <c r="H40" s="83">
        <f t="shared" si="10"/>
        <v>0.312</v>
      </c>
      <c r="I40" s="83">
        <f t="shared" si="10"/>
        <v>0.9359999999999999</v>
      </c>
      <c r="J40" s="83">
        <f t="shared" si="10"/>
        <v>0.9359999999999999</v>
      </c>
      <c r="K40" s="83">
        <f>K39*0.26</f>
        <v>3.432</v>
      </c>
      <c r="L40" s="83">
        <f>L39*0.26</f>
        <v>3.432</v>
      </c>
      <c r="M40" s="83">
        <f>M39*0.26</f>
        <v>3.432</v>
      </c>
      <c r="N40" s="83">
        <f>N39*0.26</f>
        <v>3.432</v>
      </c>
      <c r="O40" s="83">
        <f>O39*0.26</f>
        <v>3.432</v>
      </c>
      <c r="P40" s="89">
        <f>SUM(Q40:T40)</f>
        <v>0</v>
      </c>
      <c r="Q40" s="83">
        <f>Q39*0.26</f>
        <v>0</v>
      </c>
      <c r="R40" s="77">
        <f aca="true" t="shared" si="11" ref="R40:W40">0.26*R39</f>
        <v>0</v>
      </c>
      <c r="S40" s="78">
        <f t="shared" si="11"/>
        <v>0</v>
      </c>
      <c r="T40" s="78">
        <f t="shared" si="11"/>
        <v>0</v>
      </c>
      <c r="U40" s="89">
        <f t="shared" si="11"/>
        <v>42.00000000000001</v>
      </c>
      <c r="V40" s="89">
        <f t="shared" si="11"/>
        <v>47.99999999999999</v>
      </c>
      <c r="W40" s="89">
        <f t="shared" si="11"/>
        <v>54</v>
      </c>
    </row>
    <row r="41" spans="1:23" ht="31.5">
      <c r="A41" s="49" t="s">
        <v>411</v>
      </c>
      <c r="B41" s="54" t="s">
        <v>367</v>
      </c>
      <c r="C41" s="88">
        <f>SUM(D41:O41)</f>
        <v>28.223999999999993</v>
      </c>
      <c r="D41" s="81">
        <f>D43+D44</f>
        <v>0.8819999999999999</v>
      </c>
      <c r="E41" s="81">
        <f aca="true" t="shared" si="12" ref="E41:O41">E43+E44</f>
        <v>0.8819999999999999</v>
      </c>
      <c r="F41" s="81">
        <f t="shared" si="12"/>
        <v>1.7639999999999998</v>
      </c>
      <c r="G41" s="81">
        <f t="shared" si="12"/>
        <v>1.7639999999999998</v>
      </c>
      <c r="H41" s="81">
        <f t="shared" si="12"/>
        <v>1.7639999999999998</v>
      </c>
      <c r="I41" s="81">
        <f t="shared" si="12"/>
        <v>1.7639999999999998</v>
      </c>
      <c r="J41" s="81">
        <f t="shared" si="12"/>
        <v>1.7639999999999998</v>
      </c>
      <c r="K41" s="81">
        <f t="shared" si="12"/>
        <v>3.5279999999999996</v>
      </c>
      <c r="L41" s="81">
        <f t="shared" si="12"/>
        <v>3.5279999999999996</v>
      </c>
      <c r="M41" s="81">
        <f t="shared" si="12"/>
        <v>3.5279999999999996</v>
      </c>
      <c r="N41" s="81">
        <f t="shared" si="12"/>
        <v>3.5279999999999996</v>
      </c>
      <c r="O41" s="81">
        <f t="shared" si="12"/>
        <v>3.5279999999999996</v>
      </c>
      <c r="P41" s="88">
        <f>SUM(Q41:T41)</f>
        <v>79.04769230769232</v>
      </c>
      <c r="Q41" s="79">
        <f>Q22*15000/1000000*3</f>
        <v>0.54</v>
      </c>
      <c r="R41" s="80">
        <f aca="true" t="shared" si="13" ref="R41:W41">R43+R44</f>
        <v>26.169230769230772</v>
      </c>
      <c r="S41" s="79">
        <f t="shared" si="13"/>
        <v>26.169230769230772</v>
      </c>
      <c r="T41" s="80">
        <f t="shared" si="13"/>
        <v>26.169230769230772</v>
      </c>
      <c r="U41" s="88">
        <f t="shared" si="13"/>
        <v>104.67692307692309</v>
      </c>
      <c r="V41" s="88">
        <f t="shared" si="13"/>
        <v>104.67692307692309</v>
      </c>
      <c r="W41" s="88">
        <f t="shared" si="13"/>
        <v>104.67692307692309</v>
      </c>
    </row>
    <row r="42" spans="1:23" ht="15.75">
      <c r="A42" s="48" t="s">
        <v>149</v>
      </c>
      <c r="B42" s="1147" t="s">
        <v>367</v>
      </c>
      <c r="C42" s="88"/>
      <c r="D42" s="81"/>
      <c r="E42" s="79"/>
      <c r="F42" s="81"/>
      <c r="G42" s="79"/>
      <c r="H42" s="81"/>
      <c r="I42" s="79"/>
      <c r="J42" s="81"/>
      <c r="K42" s="79"/>
      <c r="L42" s="81"/>
      <c r="M42" s="77"/>
      <c r="N42" s="77"/>
      <c r="O42" s="77"/>
      <c r="P42" s="88"/>
      <c r="Q42" s="79"/>
      <c r="R42" s="81"/>
      <c r="S42" s="79"/>
      <c r="T42" s="81"/>
      <c r="U42" s="88"/>
      <c r="V42" s="88"/>
      <c r="W42" s="88"/>
    </row>
    <row r="43" spans="1:23" ht="15.75">
      <c r="A43" s="48" t="s">
        <v>420</v>
      </c>
      <c r="B43" s="1147"/>
      <c r="C43" s="88">
        <f>SUM(D43:O43)</f>
        <v>22.400000000000002</v>
      </c>
      <c r="D43" s="81">
        <f>0.7*D22</f>
        <v>0.7</v>
      </c>
      <c r="E43" s="81">
        <f aca="true" t="shared" si="14" ref="E43:O43">0.7*E22</f>
        <v>0.7</v>
      </c>
      <c r="F43" s="81">
        <f t="shared" si="14"/>
        <v>1.4</v>
      </c>
      <c r="G43" s="81">
        <f t="shared" si="14"/>
        <v>1.4</v>
      </c>
      <c r="H43" s="81">
        <f t="shared" si="14"/>
        <v>1.4</v>
      </c>
      <c r="I43" s="81">
        <f t="shared" si="14"/>
        <v>1.4</v>
      </c>
      <c r="J43" s="81">
        <f t="shared" si="14"/>
        <v>1.4</v>
      </c>
      <c r="K43" s="81">
        <f t="shared" si="14"/>
        <v>2.8</v>
      </c>
      <c r="L43" s="81">
        <f t="shared" si="14"/>
        <v>2.8</v>
      </c>
      <c r="M43" s="81">
        <f t="shared" si="14"/>
        <v>2.8</v>
      </c>
      <c r="N43" s="81">
        <f t="shared" si="14"/>
        <v>2.8</v>
      </c>
      <c r="O43" s="81">
        <f t="shared" si="14"/>
        <v>2.8</v>
      </c>
      <c r="P43" s="90">
        <f aca="true" t="shared" si="15" ref="P43:W43">0.045*P22*1000/26</f>
        <v>83.07692307692308</v>
      </c>
      <c r="Q43" s="81">
        <f t="shared" si="15"/>
        <v>20.76923076923077</v>
      </c>
      <c r="R43" s="81">
        <f t="shared" si="15"/>
        <v>20.76923076923077</v>
      </c>
      <c r="S43" s="81">
        <f t="shared" si="15"/>
        <v>20.76923076923077</v>
      </c>
      <c r="T43" s="81">
        <f t="shared" si="15"/>
        <v>20.76923076923077</v>
      </c>
      <c r="U43" s="81">
        <f t="shared" si="15"/>
        <v>83.07692307692308</v>
      </c>
      <c r="V43" s="81">
        <f t="shared" si="15"/>
        <v>83.07692307692308</v>
      </c>
      <c r="W43" s="81">
        <f t="shared" si="15"/>
        <v>83.07692307692308</v>
      </c>
    </row>
    <row r="44" spans="1:23" ht="16.5" thickBot="1">
      <c r="A44" s="47" t="s">
        <v>152</v>
      </c>
      <c r="B44" s="76" t="s">
        <v>367</v>
      </c>
      <c r="C44" s="89">
        <f>SUM(D44:O44)</f>
        <v>5.823999999999999</v>
      </c>
      <c r="D44" s="83">
        <f aca="true" t="shared" si="16" ref="D44:J44">0.26*D43</f>
        <v>0.182</v>
      </c>
      <c r="E44" s="83">
        <f t="shared" si="16"/>
        <v>0.182</v>
      </c>
      <c r="F44" s="83">
        <f t="shared" si="16"/>
        <v>0.364</v>
      </c>
      <c r="G44" s="83">
        <f t="shared" si="16"/>
        <v>0.364</v>
      </c>
      <c r="H44" s="83">
        <f t="shared" si="16"/>
        <v>0.364</v>
      </c>
      <c r="I44" s="83">
        <f t="shared" si="16"/>
        <v>0.364</v>
      </c>
      <c r="J44" s="83">
        <f t="shared" si="16"/>
        <v>0.364</v>
      </c>
      <c r="K44" s="83">
        <f>0.26*K43</f>
        <v>0.728</v>
      </c>
      <c r="L44" s="83">
        <f>0.26*L43</f>
        <v>0.728</v>
      </c>
      <c r="M44" s="83">
        <f>0.26*M43</f>
        <v>0.728</v>
      </c>
      <c r="N44" s="83">
        <f>0.26*N43</f>
        <v>0.728</v>
      </c>
      <c r="O44" s="83">
        <f>0.26*O43</f>
        <v>0.728</v>
      </c>
      <c r="P44" s="89">
        <f>SUM(Q44:T44)</f>
        <v>21.6</v>
      </c>
      <c r="Q44" s="82">
        <f aca="true" t="shared" si="17" ref="Q44:W44">0.26*Q43</f>
        <v>5.4</v>
      </c>
      <c r="R44" s="83">
        <f t="shared" si="17"/>
        <v>5.4</v>
      </c>
      <c r="S44" s="82">
        <f t="shared" si="17"/>
        <v>5.4</v>
      </c>
      <c r="T44" s="83">
        <f t="shared" si="17"/>
        <v>5.4</v>
      </c>
      <c r="U44" s="89">
        <f t="shared" si="17"/>
        <v>21.6</v>
      </c>
      <c r="V44" s="89">
        <f t="shared" si="17"/>
        <v>21.6</v>
      </c>
      <c r="W44" s="89">
        <f t="shared" si="17"/>
        <v>21.6</v>
      </c>
    </row>
    <row r="45" spans="1:23" ht="31.5">
      <c r="A45" s="49" t="s">
        <v>424</v>
      </c>
      <c r="B45" s="54" t="s">
        <v>367</v>
      </c>
      <c r="C45" s="88">
        <f>SUM(D45:O45)</f>
        <v>166.32</v>
      </c>
      <c r="D45" s="81">
        <f>D47+D48</f>
        <v>13.86</v>
      </c>
      <c r="E45" s="81">
        <f aca="true" t="shared" si="18" ref="E45:O45">E47+E48</f>
        <v>13.86</v>
      </c>
      <c r="F45" s="81">
        <f t="shared" si="18"/>
        <v>13.86</v>
      </c>
      <c r="G45" s="81">
        <f t="shared" si="18"/>
        <v>13.86</v>
      </c>
      <c r="H45" s="81">
        <f t="shared" si="18"/>
        <v>13.86</v>
      </c>
      <c r="I45" s="81">
        <f t="shared" si="18"/>
        <v>13.86</v>
      </c>
      <c r="J45" s="81">
        <f t="shared" si="18"/>
        <v>13.86</v>
      </c>
      <c r="K45" s="81">
        <f t="shared" si="18"/>
        <v>13.86</v>
      </c>
      <c r="L45" s="81">
        <f t="shared" si="18"/>
        <v>13.86</v>
      </c>
      <c r="M45" s="81">
        <f t="shared" si="18"/>
        <v>13.86</v>
      </c>
      <c r="N45" s="81">
        <f t="shared" si="18"/>
        <v>13.86</v>
      </c>
      <c r="O45" s="81">
        <f t="shared" si="18"/>
        <v>13.86</v>
      </c>
      <c r="P45" s="88">
        <f>SUM(Q45:T45)</f>
        <v>116.30769230769232</v>
      </c>
      <c r="Q45" s="79">
        <f aca="true" t="shared" si="19" ref="Q45:W45">Q47+Q48</f>
        <v>29.07692307692308</v>
      </c>
      <c r="R45" s="80">
        <f t="shared" si="19"/>
        <v>29.07692307692308</v>
      </c>
      <c r="S45" s="79">
        <f t="shared" si="19"/>
        <v>29.07692307692308</v>
      </c>
      <c r="T45" s="80">
        <f t="shared" si="19"/>
        <v>29.07692307692308</v>
      </c>
      <c r="U45" s="88">
        <f t="shared" si="19"/>
        <v>116.30769230769232</v>
      </c>
      <c r="V45" s="88">
        <f t="shared" si="19"/>
        <v>116.30769230769232</v>
      </c>
      <c r="W45" s="88">
        <f t="shared" si="19"/>
        <v>116.30769230769232</v>
      </c>
    </row>
    <row r="46" spans="1:23" ht="15.75">
      <c r="A46" s="48" t="s">
        <v>109</v>
      </c>
      <c r="B46" s="1147" t="s">
        <v>367</v>
      </c>
      <c r="C46" s="88"/>
      <c r="D46" s="81"/>
      <c r="E46" s="79"/>
      <c r="F46" s="81"/>
      <c r="G46" s="79"/>
      <c r="H46" s="81"/>
      <c r="I46" s="79"/>
      <c r="J46" s="81"/>
      <c r="K46" s="79"/>
      <c r="L46" s="81"/>
      <c r="M46" s="77"/>
      <c r="N46" s="77"/>
      <c r="O46" s="77"/>
      <c r="P46" s="88"/>
      <c r="Q46" s="79"/>
      <c r="R46" s="81"/>
      <c r="S46" s="79"/>
      <c r="T46" s="81"/>
      <c r="U46" s="88"/>
      <c r="V46" s="88"/>
      <c r="W46" s="88"/>
    </row>
    <row r="47" spans="1:23" ht="15.75">
      <c r="A47" s="48" t="s">
        <v>418</v>
      </c>
      <c r="B47" s="1147"/>
      <c r="C47" s="88">
        <f>SUM(D47:O47)</f>
        <v>132</v>
      </c>
      <c r="D47" s="81">
        <f>2.75*D28</f>
        <v>11</v>
      </c>
      <c r="E47" s="81">
        <f aca="true" t="shared" si="20" ref="E47:O47">2.75*E28</f>
        <v>11</v>
      </c>
      <c r="F47" s="81">
        <f t="shared" si="20"/>
        <v>11</v>
      </c>
      <c r="G47" s="81">
        <f t="shared" si="20"/>
        <v>11</v>
      </c>
      <c r="H47" s="81">
        <f t="shared" si="20"/>
        <v>11</v>
      </c>
      <c r="I47" s="81">
        <f t="shared" si="20"/>
        <v>11</v>
      </c>
      <c r="J47" s="81">
        <f t="shared" si="20"/>
        <v>11</v>
      </c>
      <c r="K47" s="81">
        <f t="shared" si="20"/>
        <v>11</v>
      </c>
      <c r="L47" s="81">
        <f t="shared" si="20"/>
        <v>11</v>
      </c>
      <c r="M47" s="81">
        <f t="shared" si="20"/>
        <v>11</v>
      </c>
      <c r="N47" s="81">
        <f t="shared" si="20"/>
        <v>11</v>
      </c>
      <c r="O47" s="81">
        <f t="shared" si="20"/>
        <v>11</v>
      </c>
      <c r="P47" s="90">
        <f aca="true" t="shared" si="21" ref="P47:W47">P28*0.05/26*1000</f>
        <v>92.30769230769232</v>
      </c>
      <c r="Q47" s="81">
        <f t="shared" si="21"/>
        <v>23.07692307692308</v>
      </c>
      <c r="R47" s="81">
        <f t="shared" si="21"/>
        <v>23.07692307692308</v>
      </c>
      <c r="S47" s="81">
        <f t="shared" si="21"/>
        <v>23.07692307692308</v>
      </c>
      <c r="T47" s="81">
        <f t="shared" si="21"/>
        <v>23.07692307692308</v>
      </c>
      <c r="U47" s="90">
        <f t="shared" si="21"/>
        <v>92.30769230769232</v>
      </c>
      <c r="V47" s="90">
        <f t="shared" si="21"/>
        <v>92.30769230769232</v>
      </c>
      <c r="W47" s="90">
        <f t="shared" si="21"/>
        <v>92.30769230769232</v>
      </c>
    </row>
    <row r="48" spans="1:23" ht="16.5" thickBot="1">
      <c r="A48" s="47" t="s">
        <v>152</v>
      </c>
      <c r="B48" s="76" t="s">
        <v>367</v>
      </c>
      <c r="C48" s="89">
        <f>SUM(D48:O48)</f>
        <v>34.32</v>
      </c>
      <c r="D48" s="83">
        <f>0.26*D47</f>
        <v>2.8600000000000003</v>
      </c>
      <c r="E48" s="83">
        <f aca="true" t="shared" si="22" ref="E48:J48">0.26*E47</f>
        <v>2.8600000000000003</v>
      </c>
      <c r="F48" s="83">
        <f t="shared" si="22"/>
        <v>2.8600000000000003</v>
      </c>
      <c r="G48" s="83">
        <f t="shared" si="22"/>
        <v>2.8600000000000003</v>
      </c>
      <c r="H48" s="83">
        <f t="shared" si="22"/>
        <v>2.8600000000000003</v>
      </c>
      <c r="I48" s="83">
        <f t="shared" si="22"/>
        <v>2.8600000000000003</v>
      </c>
      <c r="J48" s="83">
        <f t="shared" si="22"/>
        <v>2.8600000000000003</v>
      </c>
      <c r="K48" s="83">
        <f>0.26*K47</f>
        <v>2.8600000000000003</v>
      </c>
      <c r="L48" s="83">
        <f>0.26*L47</f>
        <v>2.8600000000000003</v>
      </c>
      <c r="M48" s="83">
        <f>0.26*M47</f>
        <v>2.8600000000000003</v>
      </c>
      <c r="N48" s="83">
        <f>0.26*N47</f>
        <v>2.8600000000000003</v>
      </c>
      <c r="O48" s="83">
        <f>0.26*O47</f>
        <v>2.8600000000000003</v>
      </c>
      <c r="P48" s="89">
        <f>SUM(Q48:T48)</f>
        <v>24.000000000000004</v>
      </c>
      <c r="Q48" s="82">
        <f aca="true" t="shared" si="23" ref="Q48:W48">0.26*Q47</f>
        <v>6.000000000000001</v>
      </c>
      <c r="R48" s="83">
        <f t="shared" si="23"/>
        <v>6.000000000000001</v>
      </c>
      <c r="S48" s="82">
        <f t="shared" si="23"/>
        <v>6.000000000000001</v>
      </c>
      <c r="T48" s="83">
        <f t="shared" si="23"/>
        <v>6.000000000000001</v>
      </c>
      <c r="U48" s="89">
        <f t="shared" si="23"/>
        <v>24.000000000000004</v>
      </c>
      <c r="V48" s="89">
        <f t="shared" si="23"/>
        <v>24.000000000000004</v>
      </c>
      <c r="W48" s="89">
        <f t="shared" si="23"/>
        <v>24.000000000000004</v>
      </c>
    </row>
    <row r="49" spans="1:23" ht="31.5">
      <c r="A49" s="49" t="s">
        <v>153</v>
      </c>
      <c r="B49" s="54" t="s">
        <v>367</v>
      </c>
      <c r="C49" s="88">
        <f>SUM(D49:O49)</f>
        <v>10.709999999999999</v>
      </c>
      <c r="D49" s="80">
        <f aca="true" t="shared" si="24" ref="D49:I49">D51+D52</f>
        <v>0</v>
      </c>
      <c r="E49" s="80">
        <f t="shared" si="24"/>
        <v>0</v>
      </c>
      <c r="F49" s="80">
        <f t="shared" si="24"/>
        <v>0</v>
      </c>
      <c r="G49" s="80">
        <f t="shared" si="24"/>
        <v>0</v>
      </c>
      <c r="H49" s="80">
        <f t="shared" si="24"/>
        <v>0</v>
      </c>
      <c r="I49" s="80">
        <f t="shared" si="24"/>
        <v>0</v>
      </c>
      <c r="J49" s="80">
        <f aca="true" t="shared" si="25" ref="J49:O49">J51+J52</f>
        <v>0</v>
      </c>
      <c r="K49" s="80">
        <f t="shared" si="25"/>
        <v>2.142</v>
      </c>
      <c r="L49" s="80">
        <f t="shared" si="25"/>
        <v>2.142</v>
      </c>
      <c r="M49" s="80">
        <f t="shared" si="25"/>
        <v>2.142</v>
      </c>
      <c r="N49" s="80">
        <f t="shared" si="25"/>
        <v>2.142</v>
      </c>
      <c r="O49" s="80">
        <f t="shared" si="25"/>
        <v>2.142</v>
      </c>
      <c r="P49" s="88">
        <f>SUM(Q49:T49)</f>
        <v>52.338461538461544</v>
      </c>
      <c r="Q49" s="80">
        <f aca="true" t="shared" si="26" ref="Q49:W49">Q51+Q52</f>
        <v>13.084615384615386</v>
      </c>
      <c r="R49" s="80">
        <f t="shared" si="26"/>
        <v>13.084615384615386</v>
      </c>
      <c r="S49" s="77">
        <f t="shared" si="26"/>
        <v>13.084615384615386</v>
      </c>
      <c r="T49" s="77">
        <f t="shared" si="26"/>
        <v>13.084615384615386</v>
      </c>
      <c r="U49" s="88">
        <f t="shared" si="26"/>
        <v>78.5076923076923</v>
      </c>
      <c r="V49" s="88">
        <f t="shared" si="26"/>
        <v>78.5076923076923</v>
      </c>
      <c r="W49" s="88">
        <f t="shared" si="26"/>
        <v>78.5076923076923</v>
      </c>
    </row>
    <row r="50" spans="1:23" ht="15.75">
      <c r="A50" s="48" t="s">
        <v>109</v>
      </c>
      <c r="B50" s="1147" t="s">
        <v>367</v>
      </c>
      <c r="C50" s="88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77"/>
      <c r="O50" s="77"/>
      <c r="P50" s="88"/>
      <c r="Q50" s="81"/>
      <c r="R50" s="81"/>
      <c r="S50" s="77"/>
      <c r="T50" s="77"/>
      <c r="U50" s="88"/>
      <c r="V50" s="88"/>
      <c r="W50" s="88"/>
    </row>
    <row r="51" spans="1:23" ht="15.75">
      <c r="A51" s="48" t="s">
        <v>422</v>
      </c>
      <c r="B51" s="1147"/>
      <c r="C51" s="88">
        <f>SUM(D51:O51)</f>
        <v>8.5</v>
      </c>
      <c r="D51" s="81">
        <f>1.7*D34</f>
        <v>0</v>
      </c>
      <c r="E51" s="81">
        <f aca="true" t="shared" si="27" ref="E51:O51">1.7*E34</f>
        <v>0</v>
      </c>
      <c r="F51" s="81">
        <f t="shared" si="27"/>
        <v>0</v>
      </c>
      <c r="G51" s="81">
        <f t="shared" si="27"/>
        <v>0</v>
      </c>
      <c r="H51" s="81">
        <f t="shared" si="27"/>
        <v>0</v>
      </c>
      <c r="I51" s="81">
        <f t="shared" si="27"/>
        <v>0</v>
      </c>
      <c r="J51" s="81">
        <f t="shared" si="27"/>
        <v>0</v>
      </c>
      <c r="K51" s="81">
        <f t="shared" si="27"/>
        <v>1.7</v>
      </c>
      <c r="L51" s="81">
        <f t="shared" si="27"/>
        <v>1.7</v>
      </c>
      <c r="M51" s="81">
        <f t="shared" si="27"/>
        <v>1.7</v>
      </c>
      <c r="N51" s="81">
        <f t="shared" si="27"/>
        <v>1.7</v>
      </c>
      <c r="O51" s="81">
        <f t="shared" si="27"/>
        <v>1.7</v>
      </c>
      <c r="P51" s="90">
        <f aca="true" t="shared" si="28" ref="P51:W51">0.045*P34/26*1000</f>
        <v>41.53846153846154</v>
      </c>
      <c r="Q51" s="81">
        <f t="shared" si="28"/>
        <v>10.384615384615385</v>
      </c>
      <c r="R51" s="81">
        <f t="shared" si="28"/>
        <v>10.384615384615385</v>
      </c>
      <c r="S51" s="81">
        <f t="shared" si="28"/>
        <v>10.384615384615385</v>
      </c>
      <c r="T51" s="81">
        <f t="shared" si="28"/>
        <v>10.384615384615385</v>
      </c>
      <c r="U51" s="90">
        <f t="shared" si="28"/>
        <v>62.3076923076923</v>
      </c>
      <c r="V51" s="90">
        <f t="shared" si="28"/>
        <v>62.3076923076923</v>
      </c>
      <c r="W51" s="90">
        <f t="shared" si="28"/>
        <v>62.3076923076923</v>
      </c>
    </row>
    <row r="52" spans="1:23" ht="16.5" thickBot="1">
      <c r="A52" s="47" t="s">
        <v>154</v>
      </c>
      <c r="B52" s="76" t="s">
        <v>367</v>
      </c>
      <c r="C52" s="89">
        <f>SUM(D52:O52)</f>
        <v>2.21</v>
      </c>
      <c r="D52" s="83">
        <f aca="true" t="shared" si="29" ref="D52:I52">D51*0.26</f>
        <v>0</v>
      </c>
      <c r="E52" s="83">
        <f t="shared" si="29"/>
        <v>0</v>
      </c>
      <c r="F52" s="83">
        <f t="shared" si="29"/>
        <v>0</v>
      </c>
      <c r="G52" s="83">
        <f t="shared" si="29"/>
        <v>0</v>
      </c>
      <c r="H52" s="83">
        <f t="shared" si="29"/>
        <v>0</v>
      </c>
      <c r="I52" s="83">
        <f t="shared" si="29"/>
        <v>0</v>
      </c>
      <c r="J52" s="83">
        <f aca="true" t="shared" si="30" ref="J52:O52">J51*0.26</f>
        <v>0</v>
      </c>
      <c r="K52" s="83">
        <f t="shared" si="30"/>
        <v>0.442</v>
      </c>
      <c r="L52" s="83">
        <f t="shared" si="30"/>
        <v>0.442</v>
      </c>
      <c r="M52" s="83">
        <f t="shared" si="30"/>
        <v>0.442</v>
      </c>
      <c r="N52" s="83">
        <f t="shared" si="30"/>
        <v>0.442</v>
      </c>
      <c r="O52" s="83">
        <f t="shared" si="30"/>
        <v>0.442</v>
      </c>
      <c r="P52" s="89">
        <f>SUM(Q52:T52)</f>
        <v>10.8</v>
      </c>
      <c r="Q52" s="83">
        <f>Q51*0.26</f>
        <v>2.7</v>
      </c>
      <c r="R52" s="83">
        <f>R51*0.26</f>
        <v>2.7</v>
      </c>
      <c r="S52" s="78">
        <f>0.26*S51</f>
        <v>2.7</v>
      </c>
      <c r="T52" s="78">
        <f>0.26*T51</f>
        <v>2.7</v>
      </c>
      <c r="U52" s="89">
        <f>0.26*U51</f>
        <v>16.2</v>
      </c>
      <c r="V52" s="89">
        <f>0.26*V51</f>
        <v>16.2</v>
      </c>
      <c r="W52" s="89">
        <f>0.26*W51</f>
        <v>16.2</v>
      </c>
    </row>
    <row r="53" spans="1:23" s="272" customFormat="1" ht="18.75" customHeight="1">
      <c r="A53" s="928" t="s">
        <v>155</v>
      </c>
      <c r="B53" s="757" t="s">
        <v>367</v>
      </c>
      <c r="C53" s="758">
        <f>SUM(D53:O53)</f>
        <v>324.7407692307693</v>
      </c>
      <c r="D53" s="759">
        <f>D54+D57+D56</f>
        <v>14.741999999999999</v>
      </c>
      <c r="E53" s="759">
        <f aca="true" t="shared" si="31" ref="E53:O53">E54+E57+E56</f>
        <v>14.741999999999999</v>
      </c>
      <c r="F53" s="759">
        <f t="shared" si="31"/>
        <v>15.624</v>
      </c>
      <c r="G53" s="759">
        <f t="shared" si="31"/>
        <v>17.136</v>
      </c>
      <c r="H53" s="759">
        <f t="shared" si="31"/>
        <v>17.136</v>
      </c>
      <c r="I53" s="759">
        <f t="shared" si="31"/>
        <v>20.16</v>
      </c>
      <c r="J53" s="759">
        <f t="shared" si="31"/>
        <v>20.16</v>
      </c>
      <c r="K53" s="759">
        <f t="shared" si="31"/>
        <v>36.162</v>
      </c>
      <c r="L53" s="759">
        <f t="shared" si="31"/>
        <v>36.162</v>
      </c>
      <c r="M53" s="759">
        <f t="shared" si="31"/>
        <v>36.162</v>
      </c>
      <c r="N53" s="759">
        <f t="shared" si="31"/>
        <v>36.162</v>
      </c>
      <c r="O53" s="759">
        <f t="shared" si="31"/>
        <v>60.39276923076923</v>
      </c>
      <c r="P53" s="758">
        <f>SUM(Q53:T53)</f>
        <v>409.9846153846155</v>
      </c>
      <c r="Q53" s="759">
        <f aca="true" t="shared" si="32" ref="Q53:W53">Q54+Q57+Q56</f>
        <v>102.49615384615387</v>
      </c>
      <c r="R53" s="759">
        <f t="shared" si="32"/>
        <v>102.49615384615387</v>
      </c>
      <c r="S53" s="759">
        <f t="shared" si="32"/>
        <v>102.49615384615387</v>
      </c>
      <c r="T53" s="759">
        <f t="shared" si="32"/>
        <v>102.49615384615387</v>
      </c>
      <c r="U53" s="758">
        <f t="shared" si="32"/>
        <v>754.5461538461539</v>
      </c>
      <c r="V53" s="758">
        <f t="shared" si="32"/>
        <v>798.1615384615384</v>
      </c>
      <c r="W53" s="758">
        <f t="shared" si="32"/>
        <v>841.7769230769231</v>
      </c>
    </row>
    <row r="54" spans="1:23" ht="15.75">
      <c r="A54" s="48" t="s">
        <v>149</v>
      </c>
      <c r="B54" s="1147" t="s">
        <v>367</v>
      </c>
      <c r="C54" s="1146">
        <f>SUM(D54:O55)</f>
        <v>238.49999999999997</v>
      </c>
      <c r="D54" s="1145">
        <f aca="true" t="shared" si="33" ref="D54:O54">D51+D47+D43+D39</f>
        <v>11.7</v>
      </c>
      <c r="E54" s="1145">
        <f t="shared" si="33"/>
        <v>11.7</v>
      </c>
      <c r="F54" s="1145">
        <f t="shared" si="33"/>
        <v>12.4</v>
      </c>
      <c r="G54" s="1145">
        <f t="shared" si="33"/>
        <v>13.6</v>
      </c>
      <c r="H54" s="1145">
        <f t="shared" si="33"/>
        <v>13.6</v>
      </c>
      <c r="I54" s="1145">
        <f t="shared" si="33"/>
        <v>16</v>
      </c>
      <c r="J54" s="1145">
        <f t="shared" si="33"/>
        <v>16</v>
      </c>
      <c r="K54" s="1145">
        <f t="shared" si="33"/>
        <v>28.7</v>
      </c>
      <c r="L54" s="1145">
        <f t="shared" si="33"/>
        <v>28.7</v>
      </c>
      <c r="M54" s="1145">
        <f t="shared" si="33"/>
        <v>28.7</v>
      </c>
      <c r="N54" s="1145">
        <f t="shared" si="33"/>
        <v>28.7</v>
      </c>
      <c r="O54" s="1145">
        <f t="shared" si="33"/>
        <v>28.7</v>
      </c>
      <c r="P54" s="1146">
        <f>SUM(Q54:T55)</f>
        <v>216.92307692307696</v>
      </c>
      <c r="Q54" s="1145">
        <f aca="true" t="shared" si="34" ref="Q54:W54">Q51+Q47+Q43+Q39</f>
        <v>54.23076923076924</v>
      </c>
      <c r="R54" s="1145">
        <f t="shared" si="34"/>
        <v>54.23076923076924</v>
      </c>
      <c r="S54" s="1145">
        <f t="shared" si="34"/>
        <v>54.23076923076924</v>
      </c>
      <c r="T54" s="1145">
        <f t="shared" si="34"/>
        <v>54.23076923076924</v>
      </c>
      <c r="U54" s="1146">
        <f t="shared" si="34"/>
        <v>399.2307692307692</v>
      </c>
      <c r="V54" s="1146">
        <f t="shared" si="34"/>
        <v>422.30769230769226</v>
      </c>
      <c r="W54" s="1146">
        <f t="shared" si="34"/>
        <v>445.38461538461536</v>
      </c>
    </row>
    <row r="55" spans="1:23" ht="15.75">
      <c r="A55" s="48" t="s">
        <v>151</v>
      </c>
      <c r="B55" s="1147"/>
      <c r="C55" s="1146"/>
      <c r="D55" s="1145"/>
      <c r="E55" s="1145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6"/>
      <c r="Q55" s="1145"/>
      <c r="R55" s="1145"/>
      <c r="S55" s="1145"/>
      <c r="T55" s="1145"/>
      <c r="U55" s="1146"/>
      <c r="V55" s="1146"/>
      <c r="W55" s="1146"/>
    </row>
    <row r="56" spans="1:23" ht="15.75">
      <c r="A56" s="48" t="s">
        <v>316</v>
      </c>
      <c r="B56" s="54"/>
      <c r="C56" s="88">
        <f>SUM(D56:O56)</f>
        <v>19.230769230769234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f>0.5/26*1000</f>
        <v>19.230769230769234</v>
      </c>
      <c r="P56" s="88">
        <f>SUM(Q56:T56)</f>
        <v>108.46153846153848</v>
      </c>
      <c r="Q56" s="77">
        <f>Q54/2</f>
        <v>27.11538461538462</v>
      </c>
      <c r="R56" s="77">
        <f>R54/2</f>
        <v>27.11538461538462</v>
      </c>
      <c r="S56" s="77">
        <f>S54/2</f>
        <v>27.11538461538462</v>
      </c>
      <c r="T56" s="77">
        <f>T54/2</f>
        <v>27.11538461538462</v>
      </c>
      <c r="U56" s="88">
        <f>U54*0.5</f>
        <v>199.6153846153846</v>
      </c>
      <c r="V56" s="88">
        <f>V54*0.5</f>
        <v>211.15384615384613</v>
      </c>
      <c r="W56" s="88">
        <f>W54*0.5</f>
        <v>222.69230769230768</v>
      </c>
    </row>
    <row r="57" spans="1:23" ht="16.5" thickBot="1">
      <c r="A57" s="47" t="s">
        <v>152</v>
      </c>
      <c r="B57" s="76" t="s">
        <v>367</v>
      </c>
      <c r="C57" s="89">
        <f>SUM(D57:O57)</f>
        <v>67.01</v>
      </c>
      <c r="D57" s="78">
        <f aca="true" t="shared" si="35" ref="D57:O57">0.26*(D56+D54)</f>
        <v>3.042</v>
      </c>
      <c r="E57" s="78">
        <f t="shared" si="35"/>
        <v>3.042</v>
      </c>
      <c r="F57" s="78">
        <f t="shared" si="35"/>
        <v>3.224</v>
      </c>
      <c r="G57" s="78">
        <f t="shared" si="35"/>
        <v>3.536</v>
      </c>
      <c r="H57" s="78">
        <f t="shared" si="35"/>
        <v>3.536</v>
      </c>
      <c r="I57" s="78">
        <f t="shared" si="35"/>
        <v>4.16</v>
      </c>
      <c r="J57" s="78">
        <f t="shared" si="35"/>
        <v>4.16</v>
      </c>
      <c r="K57" s="78">
        <f t="shared" si="35"/>
        <v>7.462</v>
      </c>
      <c r="L57" s="78">
        <f t="shared" si="35"/>
        <v>7.462</v>
      </c>
      <c r="M57" s="78">
        <f t="shared" si="35"/>
        <v>7.462</v>
      </c>
      <c r="N57" s="78">
        <f t="shared" si="35"/>
        <v>7.462</v>
      </c>
      <c r="O57" s="78">
        <f t="shared" si="35"/>
        <v>12.462</v>
      </c>
      <c r="P57" s="89">
        <f>SUM(Q57:T57)</f>
        <v>84.60000000000002</v>
      </c>
      <c r="Q57" s="78">
        <f aca="true" t="shared" si="36" ref="Q57:W57">0.26*(Q56+Q54)</f>
        <v>21.150000000000006</v>
      </c>
      <c r="R57" s="78">
        <f t="shared" si="36"/>
        <v>21.150000000000006</v>
      </c>
      <c r="S57" s="78">
        <f t="shared" si="36"/>
        <v>21.150000000000006</v>
      </c>
      <c r="T57" s="78">
        <f t="shared" si="36"/>
        <v>21.150000000000006</v>
      </c>
      <c r="U57" s="89">
        <f t="shared" si="36"/>
        <v>155.7</v>
      </c>
      <c r="V57" s="89">
        <f t="shared" si="36"/>
        <v>164.69999999999996</v>
      </c>
      <c r="W57" s="89">
        <f t="shared" si="36"/>
        <v>173.70000000000002</v>
      </c>
    </row>
  </sheetData>
  <mergeCells count="56">
    <mergeCell ref="V8:V9"/>
    <mergeCell ref="V54:V55"/>
    <mergeCell ref="W8:W9"/>
    <mergeCell ref="W54:W55"/>
    <mergeCell ref="K8:K9"/>
    <mergeCell ref="L8:L9"/>
    <mergeCell ref="E54:E55"/>
    <mergeCell ref="F54:F55"/>
    <mergeCell ref="G54:G55"/>
    <mergeCell ref="H54:H55"/>
    <mergeCell ref="I54:I55"/>
    <mergeCell ref="J54:J55"/>
    <mergeCell ref="K54:K55"/>
    <mergeCell ref="L54:L55"/>
    <mergeCell ref="A3:A5"/>
    <mergeCell ref="B3:B5"/>
    <mergeCell ref="C3:O3"/>
    <mergeCell ref="P3:T3"/>
    <mergeCell ref="C4:C5"/>
    <mergeCell ref="D4:O4"/>
    <mergeCell ref="P4:P5"/>
    <mergeCell ref="Q4:T4"/>
    <mergeCell ref="B8:B9"/>
    <mergeCell ref="C8:C9"/>
    <mergeCell ref="D8:D9"/>
    <mergeCell ref="M8:M9"/>
    <mergeCell ref="E8:E9"/>
    <mergeCell ref="F8:F9"/>
    <mergeCell ref="G8:G9"/>
    <mergeCell ref="H8:H9"/>
    <mergeCell ref="I8:I9"/>
    <mergeCell ref="J8:J9"/>
    <mergeCell ref="N8:N9"/>
    <mergeCell ref="O8:O9"/>
    <mergeCell ref="P8:P9"/>
    <mergeCell ref="Q8:Q9"/>
    <mergeCell ref="R8:R9"/>
    <mergeCell ref="S8:S9"/>
    <mergeCell ref="T8:T9"/>
    <mergeCell ref="U8:U9"/>
    <mergeCell ref="B38:B39"/>
    <mergeCell ref="B42:B43"/>
    <mergeCell ref="B46:B47"/>
    <mergeCell ref="B50:B51"/>
    <mergeCell ref="B54:B55"/>
    <mergeCell ref="C54:C55"/>
    <mergeCell ref="D54:D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</mergeCells>
  <printOptions/>
  <pageMargins left="0.25" right="0.16" top="0.64" bottom="0.21" header="0.5" footer="0.21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60" zoomScaleNormal="70" workbookViewId="0" topLeftCell="A7">
      <pane xSplit="3030" topLeftCell="B1" activePane="topRight" state="split"/>
      <selection pane="topLeft" activeCell="A12" sqref="A12"/>
      <selection pane="topRight" activeCell="J15" sqref="J15"/>
    </sheetView>
  </sheetViews>
  <sheetFormatPr defaultColWidth="9.00390625" defaultRowHeight="12.75"/>
  <cols>
    <col min="1" max="1" width="44.625" style="31" customWidth="1"/>
    <col min="2" max="2" width="11.25390625" style="84" customWidth="1"/>
    <col min="3" max="5" width="9.75390625" style="31" customWidth="1"/>
    <col min="6" max="6" width="10.75390625" style="31" customWidth="1"/>
    <col min="7" max="7" width="9.875" style="31" customWidth="1"/>
    <col min="8" max="8" width="11.375" style="31" customWidth="1"/>
    <col min="9" max="9" width="9.75390625" style="31" customWidth="1"/>
    <col min="10" max="10" width="11.125" style="31" customWidth="1"/>
    <col min="11" max="11" width="9.75390625" style="31" customWidth="1"/>
    <col min="12" max="12" width="11.625" style="31" customWidth="1"/>
    <col min="13" max="13" width="11.125" style="31" customWidth="1"/>
    <col min="14" max="14" width="9.75390625" style="31" customWidth="1"/>
    <col min="15" max="15" width="12.375" style="84" customWidth="1"/>
    <col min="16" max="16" width="10.75390625" style="31" customWidth="1"/>
    <col min="17" max="17" width="10.625" style="31" customWidth="1"/>
    <col min="18" max="18" width="10.875" style="31" customWidth="1"/>
    <col min="19" max="19" width="11.25390625" style="31" customWidth="1"/>
    <col min="20" max="20" width="12.75390625" style="84" customWidth="1"/>
    <col min="21" max="21" width="12.75390625" style="31" customWidth="1"/>
    <col min="22" max="22" width="13.75390625" style="31" customWidth="1"/>
    <col min="23" max="16384" width="9.125" style="31" customWidth="1"/>
  </cols>
  <sheetData>
    <row r="1" spans="1:14" ht="21" thickBot="1">
      <c r="A1" s="194" t="s">
        <v>157</v>
      </c>
      <c r="B1" s="52"/>
      <c r="C1" s="52"/>
      <c r="D1" s="52"/>
      <c r="E1" s="52"/>
      <c r="F1" s="84"/>
      <c r="H1" s="53" t="s">
        <v>156</v>
      </c>
      <c r="I1" s="84"/>
      <c r="K1" s="57"/>
      <c r="N1" s="84"/>
    </row>
    <row r="2" spans="1:22" ht="19.5" thickBot="1">
      <c r="A2" s="56"/>
      <c r="B2" s="52"/>
      <c r="C2" s="52"/>
      <c r="D2" s="52"/>
      <c r="E2" s="52"/>
      <c r="F2" s="84"/>
      <c r="H2" s="53"/>
      <c r="I2" s="84"/>
      <c r="K2" s="57"/>
      <c r="N2" s="84"/>
      <c r="V2" s="767" t="s">
        <v>367</v>
      </c>
    </row>
    <row r="3" spans="1:20" ht="1.5" customHeight="1" thickBot="1">
      <c r="A3" s="1167" t="s">
        <v>136</v>
      </c>
      <c r="B3" s="1230" t="s">
        <v>1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2"/>
      <c r="O3" s="1230" t="s">
        <v>44</v>
      </c>
      <c r="P3" s="1231"/>
      <c r="Q3" s="1231"/>
      <c r="R3" s="1231"/>
      <c r="S3" s="1232"/>
      <c r="T3" s="92" t="s">
        <v>46</v>
      </c>
    </row>
    <row r="4" spans="1:22" ht="33.75" customHeight="1" thickBot="1">
      <c r="A4" s="1168"/>
      <c r="B4" s="1233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5"/>
      <c r="O4" s="1233"/>
      <c r="P4" s="1234"/>
      <c r="Q4" s="1234"/>
      <c r="R4" s="1234"/>
      <c r="S4" s="1235"/>
      <c r="T4" s="95" t="s">
        <v>46</v>
      </c>
      <c r="U4" s="274" t="s">
        <v>317</v>
      </c>
      <c r="V4" s="275" t="s">
        <v>318</v>
      </c>
    </row>
    <row r="5" spans="1:22" ht="15.75" customHeight="1" thickBot="1">
      <c r="A5" s="1168"/>
      <c r="B5" s="1142" t="s">
        <v>112</v>
      </c>
      <c r="C5" s="1214" t="s">
        <v>292</v>
      </c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6"/>
      <c r="O5" s="1236" t="s">
        <v>112</v>
      </c>
      <c r="P5" s="1156" t="s">
        <v>113</v>
      </c>
      <c r="Q5" s="1157"/>
      <c r="R5" s="1157"/>
      <c r="S5" s="1158"/>
      <c r="T5" s="1142" t="s">
        <v>112</v>
      </c>
      <c r="U5" s="1142" t="s">
        <v>112</v>
      </c>
      <c r="V5" s="1142" t="s">
        <v>112</v>
      </c>
    </row>
    <row r="6" spans="1:22" ht="16.5" thickBot="1">
      <c r="A6" s="1152"/>
      <c r="B6" s="1143"/>
      <c r="C6" s="38" t="s">
        <v>114</v>
      </c>
      <c r="D6" s="38" t="s">
        <v>115</v>
      </c>
      <c r="E6" s="38" t="s">
        <v>116</v>
      </c>
      <c r="F6" s="38" t="s">
        <v>117</v>
      </c>
      <c r="G6" s="38" t="s">
        <v>284</v>
      </c>
      <c r="H6" s="38" t="s">
        <v>285</v>
      </c>
      <c r="I6" s="38" t="s">
        <v>286</v>
      </c>
      <c r="J6" s="166" t="s">
        <v>287</v>
      </c>
      <c r="K6" s="168" t="s">
        <v>288</v>
      </c>
      <c r="L6" s="38" t="s">
        <v>289</v>
      </c>
      <c r="M6" s="38" t="s">
        <v>290</v>
      </c>
      <c r="N6" s="38" t="s">
        <v>291</v>
      </c>
      <c r="O6" s="1237"/>
      <c r="P6" s="45" t="s">
        <v>114</v>
      </c>
      <c r="Q6" s="50" t="s">
        <v>115</v>
      </c>
      <c r="R6" s="50" t="s">
        <v>116</v>
      </c>
      <c r="S6" s="50" t="s">
        <v>117</v>
      </c>
      <c r="T6" s="1143"/>
      <c r="U6" s="1143"/>
      <c r="V6" s="1143"/>
    </row>
    <row r="7" spans="1:22" ht="16.5" thickBot="1">
      <c r="A7" s="46">
        <v>1</v>
      </c>
      <c r="B7" s="85">
        <v>2</v>
      </c>
      <c r="C7" s="164">
        <v>4</v>
      </c>
      <c r="D7" s="165">
        <v>5</v>
      </c>
      <c r="E7" s="165">
        <v>6</v>
      </c>
      <c r="F7" s="165">
        <v>7</v>
      </c>
      <c r="G7" s="165">
        <v>8</v>
      </c>
      <c r="H7" s="165">
        <v>9</v>
      </c>
      <c r="I7" s="165">
        <v>10</v>
      </c>
      <c r="J7" s="167">
        <v>11</v>
      </c>
      <c r="K7" s="164">
        <v>12</v>
      </c>
      <c r="L7" s="165">
        <v>13</v>
      </c>
      <c r="M7" s="165">
        <v>14</v>
      </c>
      <c r="N7" s="165">
        <v>15</v>
      </c>
      <c r="O7" s="247">
        <v>16</v>
      </c>
      <c r="P7" s="165">
        <v>17</v>
      </c>
      <c r="Q7" s="165">
        <v>18</v>
      </c>
      <c r="R7" s="165">
        <v>19</v>
      </c>
      <c r="S7" s="165">
        <v>20</v>
      </c>
      <c r="T7" s="247">
        <v>21</v>
      </c>
      <c r="U7" s="247">
        <v>22</v>
      </c>
      <c r="V7" s="247">
        <v>23</v>
      </c>
    </row>
    <row r="8" spans="1:22" ht="16.5" thickBot="1">
      <c r="A8" s="62" t="s">
        <v>266</v>
      </c>
      <c r="B8" s="62">
        <f>4!C9</f>
        <v>3</v>
      </c>
      <c r="C8" s="47"/>
      <c r="D8" s="47"/>
      <c r="E8" s="47"/>
      <c r="F8" s="47"/>
      <c r="G8" s="47"/>
      <c r="H8" s="47"/>
      <c r="I8" s="47">
        <v>1</v>
      </c>
      <c r="J8" s="47"/>
      <c r="K8" s="47"/>
      <c r="L8" s="47"/>
      <c r="M8" s="47"/>
      <c r="N8" s="246">
        <f>4!O9</f>
        <v>2</v>
      </c>
      <c r="O8" s="62">
        <f>4!P9</f>
        <v>18</v>
      </c>
      <c r="P8" s="47">
        <f>4!Q9</f>
        <v>3</v>
      </c>
      <c r="Q8" s="47">
        <f>4!R9</f>
        <v>4</v>
      </c>
      <c r="R8" s="47">
        <f>4!S9</f>
        <v>5</v>
      </c>
      <c r="S8" s="47">
        <f>4!T9</f>
        <v>6</v>
      </c>
      <c r="T8" s="62">
        <f>4!U9</f>
        <v>27</v>
      </c>
      <c r="U8" s="62">
        <f>4!V9</f>
        <v>40.5</v>
      </c>
      <c r="V8" s="62">
        <f>4!W9</f>
        <v>60.75</v>
      </c>
    </row>
    <row r="9" spans="1:22" s="182" customFormat="1" ht="37.5">
      <c r="A9" s="351" t="s">
        <v>159</v>
      </c>
      <c r="B9" s="1353">
        <f>SUM(B12:B16)</f>
        <v>624.1137050769232</v>
      </c>
      <c r="C9" s="80">
        <f>SUM(C12:C16)</f>
        <v>10.74015123076923</v>
      </c>
      <c r="D9" s="77">
        <f>SUM(D12:D16)</f>
        <v>56.946691076923074</v>
      </c>
      <c r="E9" s="77">
        <f>SUM(E12:E16)</f>
        <v>39.27789057692308</v>
      </c>
      <c r="F9" s="77">
        <f>F16+F15+F14+F13+F12</f>
        <v>78.98341415384617</v>
      </c>
      <c r="G9" s="77">
        <f aca="true" t="shared" si="0" ref="G9:V9">G16+G15+G14+G13+G12</f>
        <v>58.421914153846146</v>
      </c>
      <c r="H9" s="77">
        <f t="shared" si="0"/>
        <v>39.28551415384615</v>
      </c>
      <c r="I9" s="80">
        <f t="shared" si="0"/>
        <v>50.14060646153846</v>
      </c>
      <c r="J9" s="77">
        <f t="shared" si="0"/>
        <v>76.65561415384614</v>
      </c>
      <c r="K9" s="77">
        <f t="shared" si="0"/>
        <v>53.415477278846154</v>
      </c>
      <c r="L9" s="77">
        <f t="shared" si="0"/>
        <v>53.415477278846154</v>
      </c>
      <c r="M9" s="77">
        <f t="shared" si="0"/>
        <v>53.415477278846154</v>
      </c>
      <c r="N9" s="77">
        <f t="shared" si="0"/>
        <v>53.415477278846154</v>
      </c>
      <c r="O9" s="88">
        <f t="shared" si="0"/>
        <v>2531.0642102307693</v>
      </c>
      <c r="P9" s="77">
        <f t="shared" si="0"/>
        <v>422.7382658076923</v>
      </c>
      <c r="Q9" s="77">
        <f t="shared" si="0"/>
        <v>562.7567903076923</v>
      </c>
      <c r="R9" s="77">
        <f t="shared" si="0"/>
        <v>705.3714686538461</v>
      </c>
      <c r="S9" s="77">
        <f t="shared" si="0"/>
        <v>840.1976854615385</v>
      </c>
      <c r="T9" s="88">
        <f t="shared" si="0"/>
        <v>4005.8463153461535</v>
      </c>
      <c r="U9" s="88">
        <f t="shared" si="0"/>
        <v>5917.1771653269225</v>
      </c>
      <c r="V9" s="88">
        <f t="shared" si="0"/>
        <v>8763.964978759615</v>
      </c>
    </row>
    <row r="10" spans="1:22" ht="14.25" customHeight="1">
      <c r="A10" s="58" t="s">
        <v>149</v>
      </c>
      <c r="B10" s="1354"/>
      <c r="C10" s="81"/>
      <c r="D10" s="77"/>
      <c r="E10" s="77"/>
      <c r="F10" s="77"/>
      <c r="G10" s="77"/>
      <c r="H10" s="77"/>
      <c r="I10" s="81"/>
      <c r="J10" s="77"/>
      <c r="K10" s="77"/>
      <c r="L10" s="77"/>
      <c r="M10" s="77"/>
      <c r="N10" s="77"/>
      <c r="O10" s="88"/>
      <c r="P10" s="1062"/>
      <c r="Q10" s="1062"/>
      <c r="R10" s="1062"/>
      <c r="S10" s="1062"/>
      <c r="T10" s="88"/>
      <c r="U10" s="88"/>
      <c r="V10" s="88"/>
    </row>
    <row r="11" spans="1:22" ht="1.5" customHeight="1">
      <c r="A11" s="58" t="s">
        <v>464</v>
      </c>
      <c r="B11" s="1354"/>
      <c r="C11" s="81"/>
      <c r="D11" s="77"/>
      <c r="E11" s="77"/>
      <c r="F11" s="77"/>
      <c r="G11" s="77"/>
      <c r="H11" s="77"/>
      <c r="I11" s="81"/>
      <c r="J11" s="77"/>
      <c r="K11" s="77">
        <f>L11</f>
        <v>134.8262168076923</v>
      </c>
      <c r="L11" s="77">
        <f>M11</f>
        <v>134.8262168076923</v>
      </c>
      <c r="M11" s="77">
        <f>N11</f>
        <v>134.8262168076923</v>
      </c>
      <c r="N11" s="77">
        <f>O11</f>
        <v>134.8262168076923</v>
      </c>
      <c r="O11" s="77">
        <f>'ИЗ -внедрение'!F45+'ИЗ -внедрение'!F90+0.3*'ИЗ -внедрение'!F74</f>
        <v>134.8262168076923</v>
      </c>
      <c r="P11" s="1062">
        <f>O11</f>
        <v>134.8262168076923</v>
      </c>
      <c r="Q11" s="1062">
        <f aca="true" t="shared" si="1" ref="Q11:V11">P11</f>
        <v>134.8262168076923</v>
      </c>
      <c r="R11" s="1062">
        <f t="shared" si="1"/>
        <v>134.8262168076923</v>
      </c>
      <c r="S11" s="1062">
        <f t="shared" si="1"/>
        <v>134.8262168076923</v>
      </c>
      <c r="T11" s="1062">
        <f>S11</f>
        <v>134.8262168076923</v>
      </c>
      <c r="U11" s="1062">
        <f t="shared" si="1"/>
        <v>134.8262168076923</v>
      </c>
      <c r="V11" s="1062">
        <f t="shared" si="1"/>
        <v>134.8262168076923</v>
      </c>
    </row>
    <row r="12" spans="1:22" s="788" customFormat="1" ht="31.5">
      <c r="A12" s="785" t="s">
        <v>329</v>
      </c>
      <c r="B12" s="1351">
        <f>SUM(C12:N12)</f>
        <v>501.16539738461546</v>
      </c>
      <c r="C12" s="1352">
        <f>'ИЗ -внедрение'!I107</f>
        <v>10.74015123076923</v>
      </c>
      <c r="D12" s="1352">
        <f>'ИЗ -внедрение'!J107</f>
        <v>56.946691076923074</v>
      </c>
      <c r="E12" s="1352">
        <f>'ИЗ -внедрение'!K107</f>
        <v>37.27789057692308</v>
      </c>
      <c r="F12" s="1352">
        <f>'ИЗ -внедрение'!L107</f>
        <v>74.89449107692309</v>
      </c>
      <c r="G12" s="1352">
        <f>'ИЗ -внедрение'!M107</f>
        <v>54.33299107692307</v>
      </c>
      <c r="H12" s="1352">
        <f>'ИЗ -внедрение'!N107</f>
        <v>32.17259107692308</v>
      </c>
      <c r="I12" s="1352">
        <f>'ИЗ -внедрение'!O107</f>
        <v>43.027683384615386</v>
      </c>
      <c r="J12" s="477">
        <f>D12</f>
        <v>56.946691076923074</v>
      </c>
      <c r="K12" s="786">
        <f>K11/4</f>
        <v>33.706554201923076</v>
      </c>
      <c r="L12" s="786">
        <f>L11/4</f>
        <v>33.706554201923076</v>
      </c>
      <c r="M12" s="786">
        <f>M11/4</f>
        <v>33.706554201923076</v>
      </c>
      <c r="N12" s="786">
        <f>N11/4</f>
        <v>33.706554201923076</v>
      </c>
      <c r="O12" s="787">
        <f aca="true" t="shared" si="2" ref="O12:V12">O8*O11</f>
        <v>2426.8719025384617</v>
      </c>
      <c r="P12" s="787">
        <f t="shared" si="2"/>
        <v>404.47865042307694</v>
      </c>
      <c r="Q12" s="787">
        <f t="shared" si="2"/>
        <v>539.3048672307692</v>
      </c>
      <c r="R12" s="787">
        <f t="shared" si="2"/>
        <v>674.1310840384615</v>
      </c>
      <c r="S12" s="787">
        <f t="shared" si="2"/>
        <v>808.9573008461539</v>
      </c>
      <c r="T12" s="787">
        <f t="shared" si="2"/>
        <v>3640.307853807692</v>
      </c>
      <c r="U12" s="787">
        <f t="shared" si="2"/>
        <v>5460.461780711538</v>
      </c>
      <c r="V12" s="787">
        <f t="shared" si="2"/>
        <v>8190.692671067308</v>
      </c>
    </row>
    <row r="13" spans="1:22" ht="31.5">
      <c r="A13" s="352" t="s">
        <v>349</v>
      </c>
      <c r="B13" s="1354">
        <f>SUM(C13:N13)</f>
        <v>22.5</v>
      </c>
      <c r="C13" s="81"/>
      <c r="D13" s="77"/>
      <c r="E13" s="77">
        <v>2</v>
      </c>
      <c r="F13" s="77">
        <v>2</v>
      </c>
      <c r="G13" s="77">
        <v>2</v>
      </c>
      <c r="H13" s="77">
        <v>2</v>
      </c>
      <c r="I13" s="81">
        <v>2</v>
      </c>
      <c r="J13" s="77">
        <v>2.5</v>
      </c>
      <c r="K13" s="77">
        <v>2.5</v>
      </c>
      <c r="L13" s="77">
        <v>2.5</v>
      </c>
      <c r="M13" s="77">
        <v>2.5</v>
      </c>
      <c r="N13" s="77">
        <v>2.5</v>
      </c>
      <c r="O13" s="88">
        <f>SUM(P13:S13)</f>
        <v>31.5</v>
      </c>
      <c r="P13" s="77">
        <f>N13*1.05*4!Q9</f>
        <v>7.875</v>
      </c>
      <c r="Q13" s="77">
        <f>P13</f>
        <v>7.875</v>
      </c>
      <c r="R13" s="77">
        <f>Q13</f>
        <v>7.875</v>
      </c>
      <c r="S13" s="77">
        <f>R13</f>
        <v>7.875</v>
      </c>
      <c r="T13" s="88">
        <f>2.5*4!U9</f>
        <v>67.5</v>
      </c>
      <c r="U13" s="88">
        <f>2.5*4!V9</f>
        <v>101.25</v>
      </c>
      <c r="V13" s="88">
        <f>2.5*4!W9</f>
        <v>151.875</v>
      </c>
    </row>
    <row r="14" spans="1:22" ht="15.75">
      <c r="A14" s="352" t="s">
        <v>388</v>
      </c>
      <c r="B14" s="1354">
        <f>SUM(C14:N14)</f>
        <v>5.192307692307691</v>
      </c>
      <c r="C14" s="81"/>
      <c r="D14" s="77"/>
      <c r="E14" s="77"/>
      <c r="F14" s="77">
        <f>3000/1000000*5*1000/26</f>
        <v>0.5769230769230769</v>
      </c>
      <c r="G14" s="77">
        <f>F14</f>
        <v>0.5769230769230769</v>
      </c>
      <c r="H14" s="77">
        <f aca="true" t="shared" si="3" ref="H14:N14">G14</f>
        <v>0.5769230769230769</v>
      </c>
      <c r="I14" s="81">
        <f t="shared" si="3"/>
        <v>0.5769230769230769</v>
      </c>
      <c r="J14" s="77">
        <f t="shared" si="3"/>
        <v>0.5769230769230769</v>
      </c>
      <c r="K14" s="77">
        <f t="shared" si="3"/>
        <v>0.5769230769230769</v>
      </c>
      <c r="L14" s="77">
        <f t="shared" si="3"/>
        <v>0.5769230769230769</v>
      </c>
      <c r="M14" s="77">
        <f t="shared" si="3"/>
        <v>0.5769230769230769</v>
      </c>
      <c r="N14" s="77">
        <f t="shared" si="3"/>
        <v>0.5769230769230769</v>
      </c>
      <c r="O14" s="88">
        <f>SUM(P14:S14)</f>
        <v>72.69230769230768</v>
      </c>
      <c r="P14" s="77">
        <f>N14*9*2</f>
        <v>10.384615384615383</v>
      </c>
      <c r="Q14" s="77">
        <f>P14*1.5</f>
        <v>15.576923076923075</v>
      </c>
      <c r="R14" s="77">
        <f>Q14*1.5</f>
        <v>23.365384615384613</v>
      </c>
      <c r="S14" s="77">
        <f>R14</f>
        <v>23.365384615384613</v>
      </c>
      <c r="T14" s="88">
        <f>O14*1.3</f>
        <v>94.49999999999999</v>
      </c>
      <c r="U14" s="88">
        <f>T14*1.3</f>
        <v>122.84999999999998</v>
      </c>
      <c r="V14" s="88">
        <f>U14*1.3</f>
        <v>159.70499999999998</v>
      </c>
    </row>
    <row r="15" spans="1:22" ht="30.75" customHeight="1">
      <c r="A15" s="352" t="s">
        <v>330</v>
      </c>
      <c r="B15" s="1354">
        <f>'5-ЗП'!C39</f>
        <v>75.60000000000001</v>
      </c>
      <c r="C15" s="81">
        <f>'5-ЗП'!D39</f>
        <v>0</v>
      </c>
      <c r="D15" s="77">
        <f>'5-ЗП'!E39</f>
        <v>0</v>
      </c>
      <c r="E15" s="77">
        <f>'5-ЗП'!F39</f>
        <v>0</v>
      </c>
      <c r="F15" s="77">
        <f>'5-ЗП'!G39</f>
        <v>1.2</v>
      </c>
      <c r="G15" s="77">
        <f>'5-ЗП'!H39</f>
        <v>1.2</v>
      </c>
      <c r="H15" s="77">
        <f>'5-ЗП'!I39</f>
        <v>3.5999999999999996</v>
      </c>
      <c r="I15" s="81">
        <f>'5-ЗП'!J39</f>
        <v>3.5999999999999996</v>
      </c>
      <c r="J15" s="77">
        <f>'5-ЗП'!K39</f>
        <v>13.2</v>
      </c>
      <c r="K15" s="77">
        <f>'5-ЗП'!L39</f>
        <v>13.2</v>
      </c>
      <c r="L15" s="77">
        <f>'5-ЗП'!M39</f>
        <v>13.2</v>
      </c>
      <c r="M15" s="77">
        <f>'5-ЗП'!N39</f>
        <v>13.2</v>
      </c>
      <c r="N15" s="77">
        <f>'5-ЗП'!O39</f>
        <v>13.2</v>
      </c>
      <c r="O15" s="88">
        <f>'5-ЗП'!P39</f>
        <v>0</v>
      </c>
      <c r="P15" s="77">
        <f>'5-ЗП'!Q39</f>
        <v>0</v>
      </c>
      <c r="Q15" s="77">
        <f>'5-ЗП'!R39</f>
        <v>0</v>
      </c>
      <c r="R15" s="77">
        <f>'5-ЗП'!S39</f>
        <v>0</v>
      </c>
      <c r="S15" s="77">
        <f>'5-ЗП'!T39</f>
        <v>0</v>
      </c>
      <c r="T15" s="88">
        <f>'5-ЗП'!U39</f>
        <v>161.53846153846155</v>
      </c>
      <c r="U15" s="88">
        <f>'5-ЗП'!V39</f>
        <v>184.61538461538458</v>
      </c>
      <c r="V15" s="88">
        <f>'5-ЗП'!W39</f>
        <v>207.69230769230768</v>
      </c>
    </row>
    <row r="16" spans="1:22" ht="16.5" thickBot="1">
      <c r="A16" s="353" t="s">
        <v>331</v>
      </c>
      <c r="B16" s="1355">
        <f>'5-ЗП'!C40</f>
        <v>19.656</v>
      </c>
      <c r="C16" s="83">
        <f>'5-ЗП'!D40</f>
        <v>0</v>
      </c>
      <c r="D16" s="78">
        <f>'5-ЗП'!E40</f>
        <v>0</v>
      </c>
      <c r="E16" s="78">
        <f>'5-ЗП'!F40</f>
        <v>0</v>
      </c>
      <c r="F16" s="78">
        <f>'5-ЗП'!G40</f>
        <v>0.312</v>
      </c>
      <c r="G16" s="78">
        <f>'5-ЗП'!H40</f>
        <v>0.312</v>
      </c>
      <c r="H16" s="78">
        <f>'5-ЗП'!I40</f>
        <v>0.9359999999999999</v>
      </c>
      <c r="I16" s="83">
        <f>'5-ЗП'!J40</f>
        <v>0.9359999999999999</v>
      </c>
      <c r="J16" s="78">
        <f>'5-ЗП'!K40</f>
        <v>3.432</v>
      </c>
      <c r="K16" s="78">
        <f>'5-ЗП'!L40</f>
        <v>3.432</v>
      </c>
      <c r="L16" s="78">
        <f>'5-ЗП'!M40</f>
        <v>3.432</v>
      </c>
      <c r="M16" s="78">
        <f>'5-ЗП'!N40</f>
        <v>3.432</v>
      </c>
      <c r="N16" s="78">
        <f>'5-ЗП'!O40</f>
        <v>3.432</v>
      </c>
      <c r="O16" s="89">
        <f>'5-ЗП'!P40</f>
        <v>0</v>
      </c>
      <c r="P16" s="78">
        <f>'5-ЗП'!Q40</f>
        <v>0</v>
      </c>
      <c r="Q16" s="78">
        <f>'5-ЗП'!R40</f>
        <v>0</v>
      </c>
      <c r="R16" s="78">
        <f>'5-ЗП'!S40</f>
        <v>0</v>
      </c>
      <c r="S16" s="78">
        <f>'5-ЗП'!T40</f>
        <v>0</v>
      </c>
      <c r="T16" s="89">
        <f>'5-ЗП'!U40</f>
        <v>42.00000000000001</v>
      </c>
      <c r="U16" s="89">
        <f>'5-ЗП'!V40</f>
        <v>47.99999999999999</v>
      </c>
      <c r="V16" s="89">
        <f>'5-ЗП'!W40</f>
        <v>54</v>
      </c>
    </row>
    <row r="17" spans="1:22" s="182" customFormat="1" ht="37.5">
      <c r="A17" s="178" t="s">
        <v>160</v>
      </c>
      <c r="B17" s="179">
        <f>SUM(C17:J17)</f>
        <v>174.73938461538464</v>
      </c>
      <c r="C17" s="180">
        <f aca="true" t="shared" si="4" ref="C17:T17">C19+C26+C33</f>
        <v>38.390461538461544</v>
      </c>
      <c r="D17" s="180">
        <f t="shared" si="4"/>
        <v>26.775076923076917</v>
      </c>
      <c r="E17" s="180">
        <f t="shared" si="4"/>
        <v>16.118615384615385</v>
      </c>
      <c r="F17" s="180">
        <f t="shared" si="4"/>
        <v>16.118615384615385</v>
      </c>
      <c r="G17" s="180">
        <f t="shared" si="4"/>
        <v>16.118615384615385</v>
      </c>
      <c r="H17" s="180">
        <f t="shared" si="4"/>
        <v>23.81092307692308</v>
      </c>
      <c r="I17" s="180">
        <f t="shared" si="4"/>
        <v>16.50323076923077</v>
      </c>
      <c r="J17" s="180">
        <f t="shared" si="4"/>
        <v>20.903846153846157</v>
      </c>
      <c r="K17" s="180">
        <f t="shared" si="4"/>
        <v>20.903846153846157</v>
      </c>
      <c r="L17" s="180">
        <f t="shared" si="4"/>
        <v>20.903846153846157</v>
      </c>
      <c r="M17" s="180">
        <f t="shared" si="4"/>
        <v>20.903846153846157</v>
      </c>
      <c r="N17" s="180">
        <f t="shared" si="4"/>
        <v>20.903846153846157</v>
      </c>
      <c r="O17" s="181">
        <f t="shared" si="4"/>
        <v>409.6769230769231</v>
      </c>
      <c r="P17" s="180">
        <f t="shared" si="4"/>
        <v>163.57307692307694</v>
      </c>
      <c r="Q17" s="180">
        <f t="shared" si="4"/>
        <v>81.45769230769231</v>
      </c>
      <c r="R17" s="180">
        <f t="shared" si="4"/>
        <v>82.03461538461539</v>
      </c>
      <c r="S17" s="180">
        <f t="shared" si="4"/>
        <v>82.61153846153846</v>
      </c>
      <c r="T17" s="181">
        <f t="shared" si="4"/>
        <v>429.98461538461544</v>
      </c>
      <c r="U17" s="181">
        <f>U19+U26+U33</f>
        <v>475.43269230769226</v>
      </c>
      <c r="V17" s="181">
        <f>V19+V26+V33</f>
        <v>556.9230769230769</v>
      </c>
    </row>
    <row r="18" spans="1:22" ht="15.75">
      <c r="A18" s="58" t="s">
        <v>149</v>
      </c>
      <c r="B18" s="90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88"/>
      <c r="P18" s="77"/>
      <c r="Q18" s="77"/>
      <c r="R18" s="77"/>
      <c r="S18" s="77"/>
      <c r="T18" s="88"/>
      <c r="U18" s="88"/>
      <c r="V18" s="88"/>
    </row>
    <row r="19" spans="1:22" s="177" customFormat="1" ht="39">
      <c r="A19" s="171" t="s">
        <v>161</v>
      </c>
      <c r="B19" s="176">
        <f>SUM(B21:B24)</f>
        <v>211.97384615384615</v>
      </c>
      <c r="C19" s="184">
        <f aca="true" t="shared" si="5" ref="C19:T19">SUM(C21:C24)</f>
        <v>37.20615384615385</v>
      </c>
      <c r="D19" s="184">
        <f t="shared" si="5"/>
        <v>25.590769230769226</v>
      </c>
      <c r="E19" s="184">
        <f t="shared" si="5"/>
        <v>14.052307692307693</v>
      </c>
      <c r="F19" s="184">
        <f t="shared" si="5"/>
        <v>14.052307692307693</v>
      </c>
      <c r="G19" s="184">
        <f t="shared" si="5"/>
        <v>14.052307692307693</v>
      </c>
      <c r="H19" s="184">
        <f t="shared" si="5"/>
        <v>21.744615384615386</v>
      </c>
      <c r="I19" s="184">
        <f t="shared" si="5"/>
        <v>14.052307692307693</v>
      </c>
      <c r="J19" s="184">
        <f t="shared" si="5"/>
        <v>14.244615384615386</v>
      </c>
      <c r="K19" s="184">
        <f t="shared" si="5"/>
        <v>14.244615384615386</v>
      </c>
      <c r="L19" s="184">
        <f t="shared" si="5"/>
        <v>14.244615384615386</v>
      </c>
      <c r="M19" s="184">
        <f t="shared" si="5"/>
        <v>14.244615384615386</v>
      </c>
      <c r="N19" s="184">
        <f t="shared" si="5"/>
        <v>14.244615384615386</v>
      </c>
      <c r="O19" s="176">
        <f t="shared" si="5"/>
        <v>209.38461538461542</v>
      </c>
      <c r="P19" s="184">
        <f t="shared" si="5"/>
        <v>113.5</v>
      </c>
      <c r="Q19" s="184">
        <f t="shared" si="5"/>
        <v>31.384615384615387</v>
      </c>
      <c r="R19" s="184">
        <f t="shared" si="5"/>
        <v>31.961538461538463</v>
      </c>
      <c r="S19" s="184">
        <f t="shared" si="5"/>
        <v>32.53846153846154</v>
      </c>
      <c r="T19" s="176">
        <f t="shared" si="5"/>
        <v>181.88461538461542</v>
      </c>
      <c r="U19" s="176">
        <f>SUM(U21:U24)</f>
        <v>209.67307692307693</v>
      </c>
      <c r="V19" s="176">
        <f>SUM(V21:V24)</f>
        <v>251.35576923076925</v>
      </c>
    </row>
    <row r="20" spans="1:22" ht="15.75">
      <c r="A20" s="58" t="s">
        <v>162</v>
      </c>
      <c r="B20" s="90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88"/>
      <c r="P20" s="77"/>
      <c r="Q20" s="77"/>
      <c r="R20" s="77"/>
      <c r="S20" s="77"/>
      <c r="T20" s="88"/>
      <c r="U20" s="88"/>
      <c r="V20" s="88"/>
    </row>
    <row r="21" spans="1:22" ht="31.5">
      <c r="A21" s="60" t="s">
        <v>163</v>
      </c>
      <c r="B21" s="90">
        <f>SUM(C21:N21)</f>
        <v>42.38461538461539</v>
      </c>
      <c r="C21" s="477">
        <f>'2-инвестиции'!D7</f>
        <v>23.153846153846157</v>
      </c>
      <c r="D21" s="477">
        <f>'2-инвестиции'!E7</f>
        <v>11.538461538461537</v>
      </c>
      <c r="E21" s="477">
        <f>'2-инвестиции'!F7</f>
        <v>0</v>
      </c>
      <c r="F21" s="477">
        <f>'2-инвестиции'!G7</f>
        <v>0</v>
      </c>
      <c r="G21" s="477">
        <f>'2-инвестиции'!H7</f>
        <v>0</v>
      </c>
      <c r="H21" s="477">
        <f>'2-инвестиции'!I7</f>
        <v>7.6923076923076925</v>
      </c>
      <c r="I21" s="477">
        <f>'2-инвестиции'!J7</f>
        <v>0</v>
      </c>
      <c r="J21" s="477">
        <f>'2-инвестиции'!K7</f>
        <v>0</v>
      </c>
      <c r="K21" s="477">
        <f>'2-инвестиции'!L7</f>
        <v>0</v>
      </c>
      <c r="L21" s="477">
        <f>'2-инвестиции'!M7</f>
        <v>0</v>
      </c>
      <c r="M21" s="477">
        <f>'2-инвестиции'!N7</f>
        <v>0</v>
      </c>
      <c r="N21" s="477">
        <f>'2-инвестиции'!O7</f>
        <v>0</v>
      </c>
      <c r="O21" s="476">
        <f>SUM(P21:S21)</f>
        <v>82.6923076923077</v>
      </c>
      <c r="P21" s="477">
        <f>'2-инвестиции'!Q7</f>
        <v>82.6923076923077</v>
      </c>
      <c r="Q21" s="477">
        <f>'2-инвестиции'!R7</f>
        <v>0</v>
      </c>
      <c r="R21" s="477">
        <f>'2-инвестиции'!S7</f>
        <v>0</v>
      </c>
      <c r="S21" s="477">
        <f>'2-инвестиции'!T7</f>
        <v>0</v>
      </c>
      <c r="T21" s="477">
        <f>'2-инвестиции'!U7</f>
        <v>50</v>
      </c>
      <c r="U21" s="477">
        <f>'2-инвестиции'!V7</f>
        <v>70</v>
      </c>
      <c r="V21" s="477">
        <f>'2-инвестиции'!W7</f>
        <v>100</v>
      </c>
    </row>
    <row r="22" spans="1:22" ht="15.75">
      <c r="A22" s="60" t="s">
        <v>350</v>
      </c>
      <c r="B22" s="90">
        <f>SUM(C22:N22)</f>
        <v>3.269230769230769</v>
      </c>
      <c r="C22" s="77">
        <f>0.005*1000/26</f>
        <v>0.19230769230769232</v>
      </c>
      <c r="D22" s="77">
        <f aca="true" t="shared" si="6" ref="D22:I22">0.005*1000/26</f>
        <v>0.19230769230769232</v>
      </c>
      <c r="E22" s="77">
        <f t="shared" si="6"/>
        <v>0.19230769230769232</v>
      </c>
      <c r="F22" s="77">
        <f t="shared" si="6"/>
        <v>0.19230769230769232</v>
      </c>
      <c r="G22" s="77">
        <f t="shared" si="6"/>
        <v>0.19230769230769232</v>
      </c>
      <c r="H22" s="77">
        <f t="shared" si="6"/>
        <v>0.19230769230769232</v>
      </c>
      <c r="I22" s="77">
        <f t="shared" si="6"/>
        <v>0.19230769230769232</v>
      </c>
      <c r="J22" s="77">
        <f>I22*2</f>
        <v>0.38461538461538464</v>
      </c>
      <c r="K22" s="77">
        <f>J22</f>
        <v>0.38461538461538464</v>
      </c>
      <c r="L22" s="77">
        <f>K22</f>
        <v>0.38461538461538464</v>
      </c>
      <c r="M22" s="77">
        <f>L22</f>
        <v>0.38461538461538464</v>
      </c>
      <c r="N22" s="77">
        <f>M22</f>
        <v>0.38461538461538464</v>
      </c>
      <c r="O22" s="88">
        <f>SUM(P22:S22)</f>
        <v>10.384615384615385</v>
      </c>
      <c r="P22" s="77">
        <f>C22*P8*3</f>
        <v>1.7307692307692308</v>
      </c>
      <c r="Q22" s="77">
        <f>D22*Q8*3</f>
        <v>2.307692307692308</v>
      </c>
      <c r="R22" s="77">
        <f>E22*R8*3</f>
        <v>2.8846153846153846</v>
      </c>
      <c r="S22" s="77">
        <f>F22*S8*3</f>
        <v>3.4615384615384617</v>
      </c>
      <c r="T22" s="88">
        <f>O22*T8/O8</f>
        <v>15.576923076923078</v>
      </c>
      <c r="U22" s="88">
        <f>P22*U8/P8</f>
        <v>23.365384615384617</v>
      </c>
      <c r="V22" s="88">
        <f>Q22*V8/Q8</f>
        <v>35.04807692307693</v>
      </c>
    </row>
    <row r="23" spans="1:22" ht="15.75">
      <c r="A23" s="60" t="s">
        <v>164</v>
      </c>
      <c r="B23" s="90">
        <f>'5-ЗП'!C47</f>
        <v>132</v>
      </c>
      <c r="C23" s="77">
        <f>'5-ЗП'!D47</f>
        <v>11</v>
      </c>
      <c r="D23" s="77">
        <f>'5-ЗП'!E47</f>
        <v>11</v>
      </c>
      <c r="E23" s="77">
        <f>'5-ЗП'!F47</f>
        <v>11</v>
      </c>
      <c r="F23" s="77">
        <f>'5-ЗП'!G47</f>
        <v>11</v>
      </c>
      <c r="G23" s="77">
        <f>'5-ЗП'!H47</f>
        <v>11</v>
      </c>
      <c r="H23" s="77">
        <f>'5-ЗП'!I47</f>
        <v>11</v>
      </c>
      <c r="I23" s="77">
        <f>'5-ЗП'!J47</f>
        <v>11</v>
      </c>
      <c r="J23" s="77">
        <f>'5-ЗП'!K47</f>
        <v>11</v>
      </c>
      <c r="K23" s="77">
        <f>'5-ЗП'!L47</f>
        <v>11</v>
      </c>
      <c r="L23" s="77">
        <f>'5-ЗП'!M47</f>
        <v>11</v>
      </c>
      <c r="M23" s="77">
        <f>'5-ЗП'!N47</f>
        <v>11</v>
      </c>
      <c r="N23" s="77">
        <f>'5-ЗП'!O47</f>
        <v>11</v>
      </c>
      <c r="O23" s="88">
        <f>'5-ЗП'!P47</f>
        <v>92.30769230769232</v>
      </c>
      <c r="P23" s="77">
        <f>'5-ЗП'!Q47</f>
        <v>23.07692307692308</v>
      </c>
      <c r="Q23" s="77">
        <f>'5-ЗП'!R47</f>
        <v>23.07692307692308</v>
      </c>
      <c r="R23" s="77">
        <f>'5-ЗП'!S47</f>
        <v>23.07692307692308</v>
      </c>
      <c r="S23" s="77">
        <f>'5-ЗП'!T47</f>
        <v>23.07692307692308</v>
      </c>
      <c r="T23" s="88">
        <f>'5-ЗП'!U47</f>
        <v>92.30769230769232</v>
      </c>
      <c r="U23" s="88">
        <f>'5-ЗП'!V47</f>
        <v>92.30769230769232</v>
      </c>
      <c r="V23" s="88">
        <f>'5-ЗП'!W47</f>
        <v>92.30769230769232</v>
      </c>
    </row>
    <row r="24" spans="1:22" ht="15.75">
      <c r="A24" s="60" t="s">
        <v>152</v>
      </c>
      <c r="B24" s="90">
        <f>'5-ЗП'!C48</f>
        <v>34.32</v>
      </c>
      <c r="C24" s="77">
        <f>'5-ЗП'!D48</f>
        <v>2.8600000000000003</v>
      </c>
      <c r="D24" s="77">
        <f>'5-ЗП'!E48</f>
        <v>2.8600000000000003</v>
      </c>
      <c r="E24" s="77">
        <f>'5-ЗП'!F48</f>
        <v>2.8600000000000003</v>
      </c>
      <c r="F24" s="77">
        <f>'5-ЗП'!G48</f>
        <v>2.8600000000000003</v>
      </c>
      <c r="G24" s="77">
        <f>'5-ЗП'!H48</f>
        <v>2.8600000000000003</v>
      </c>
      <c r="H24" s="77">
        <f>'5-ЗП'!I48</f>
        <v>2.8600000000000003</v>
      </c>
      <c r="I24" s="77">
        <f>'5-ЗП'!J48</f>
        <v>2.8600000000000003</v>
      </c>
      <c r="J24" s="77">
        <f>'5-ЗП'!K48</f>
        <v>2.8600000000000003</v>
      </c>
      <c r="K24" s="77">
        <f>'5-ЗП'!L48</f>
        <v>2.8600000000000003</v>
      </c>
      <c r="L24" s="77">
        <f>'5-ЗП'!M48</f>
        <v>2.8600000000000003</v>
      </c>
      <c r="M24" s="77">
        <f>'5-ЗП'!N48</f>
        <v>2.8600000000000003</v>
      </c>
      <c r="N24" s="77">
        <f>'5-ЗП'!O48</f>
        <v>2.8600000000000003</v>
      </c>
      <c r="O24" s="88">
        <f>'5-ЗП'!P48</f>
        <v>24.000000000000004</v>
      </c>
      <c r="P24" s="77">
        <f>'5-ЗП'!Q48</f>
        <v>6.000000000000001</v>
      </c>
      <c r="Q24" s="77">
        <f>'5-ЗП'!R48</f>
        <v>6.000000000000001</v>
      </c>
      <c r="R24" s="77">
        <f>'5-ЗП'!S48</f>
        <v>6.000000000000001</v>
      </c>
      <c r="S24" s="77">
        <f>'5-ЗП'!T48</f>
        <v>6.000000000000001</v>
      </c>
      <c r="T24" s="88">
        <f>'5-ЗП'!U48</f>
        <v>24.000000000000004</v>
      </c>
      <c r="U24" s="88">
        <f>'5-ЗП'!V48</f>
        <v>24.000000000000004</v>
      </c>
      <c r="V24" s="88">
        <f>'5-ЗП'!W48</f>
        <v>24.000000000000004</v>
      </c>
    </row>
    <row r="25" spans="1:22" ht="4.5" customHeight="1">
      <c r="A25" s="60"/>
      <c r="B25" s="90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88"/>
      <c r="P25" s="77"/>
      <c r="Q25" s="77"/>
      <c r="R25" s="77"/>
      <c r="S25" s="77"/>
      <c r="T25" s="88"/>
      <c r="U25" s="88"/>
      <c r="V25" s="88"/>
    </row>
    <row r="26" spans="1:22" s="175" customFormat="1" ht="39">
      <c r="A26" s="171" t="s">
        <v>165</v>
      </c>
      <c r="B26" s="172">
        <f>SUM(B28:B31)</f>
        <v>33.363230769230775</v>
      </c>
      <c r="C26" s="173">
        <f>SUM(C28:C31)</f>
        <v>1.1843076923076923</v>
      </c>
      <c r="D26" s="173">
        <f aca="true" t="shared" si="7" ref="D26:T26">SUM(D28:D31)</f>
        <v>1.1843076923076923</v>
      </c>
      <c r="E26" s="173">
        <f t="shared" si="7"/>
        <v>2.066307692307692</v>
      </c>
      <c r="F26" s="173">
        <f t="shared" si="7"/>
        <v>2.066307692307692</v>
      </c>
      <c r="G26" s="173">
        <f t="shared" si="7"/>
        <v>2.066307692307692</v>
      </c>
      <c r="H26" s="173">
        <f t="shared" si="7"/>
        <v>2.066307692307692</v>
      </c>
      <c r="I26" s="173">
        <f t="shared" si="7"/>
        <v>2.066307692307692</v>
      </c>
      <c r="J26" s="173">
        <f t="shared" si="7"/>
        <v>4.132615384615384</v>
      </c>
      <c r="K26" s="173">
        <f t="shared" si="7"/>
        <v>4.132615384615384</v>
      </c>
      <c r="L26" s="173">
        <f t="shared" si="7"/>
        <v>4.132615384615384</v>
      </c>
      <c r="M26" s="173">
        <f t="shared" si="7"/>
        <v>4.132615384615384</v>
      </c>
      <c r="N26" s="173">
        <f t="shared" si="7"/>
        <v>4.132615384615384</v>
      </c>
      <c r="O26" s="174">
        <f t="shared" si="7"/>
        <v>117.1846153846154</v>
      </c>
      <c r="P26" s="173">
        <f t="shared" si="7"/>
        <v>29.29615384615385</v>
      </c>
      <c r="Q26" s="173">
        <f t="shared" si="7"/>
        <v>29.29615384615385</v>
      </c>
      <c r="R26" s="173">
        <f t="shared" si="7"/>
        <v>29.29615384615385</v>
      </c>
      <c r="S26" s="173">
        <f t="shared" si="7"/>
        <v>29.29615384615385</v>
      </c>
      <c r="T26" s="174">
        <f t="shared" si="7"/>
        <v>123.43846153846155</v>
      </c>
      <c r="U26" s="174">
        <f>SUM(U28:U31)</f>
        <v>132.44423076923078</v>
      </c>
      <c r="V26" s="174">
        <f>SUM(V28:V31)</f>
        <v>146.29038461538462</v>
      </c>
    </row>
    <row r="27" spans="1:22" ht="15.75">
      <c r="A27" s="58" t="s">
        <v>162</v>
      </c>
      <c r="B27" s="161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0"/>
      <c r="P27" s="169"/>
      <c r="Q27" s="169"/>
      <c r="R27" s="169"/>
      <c r="S27" s="169"/>
      <c r="T27" s="170"/>
      <c r="U27" s="170"/>
      <c r="V27" s="170"/>
    </row>
    <row r="28" spans="1:22" ht="15.75">
      <c r="A28" s="60" t="s">
        <v>166</v>
      </c>
      <c r="B28" s="90">
        <f>SUM(C28:N28)</f>
        <v>0</v>
      </c>
      <c r="C28" s="77"/>
      <c r="D28" s="77"/>
      <c r="E28" s="77"/>
      <c r="F28" s="77"/>
      <c r="G28" s="77"/>
      <c r="H28" s="77"/>
      <c r="I28" s="77"/>
      <c r="J28" s="77">
        <f>I28*2</f>
        <v>0</v>
      </c>
      <c r="K28" s="77">
        <f aca="true" t="shared" si="8" ref="K28:N29">J28</f>
        <v>0</v>
      </c>
      <c r="L28" s="77">
        <f t="shared" si="8"/>
        <v>0</v>
      </c>
      <c r="M28" s="77">
        <f t="shared" si="8"/>
        <v>0</v>
      </c>
      <c r="N28" s="77">
        <f t="shared" si="8"/>
        <v>0</v>
      </c>
      <c r="O28" s="88">
        <f>SUM(P28:S28)</f>
        <v>12.307692307692308</v>
      </c>
      <c r="P28" s="77">
        <f>0.08/26*1000</f>
        <v>3.076923076923077</v>
      </c>
      <c r="Q28" s="77">
        <f>0.08/26*1000</f>
        <v>3.076923076923077</v>
      </c>
      <c r="R28" s="77">
        <f>0.08/26*1000</f>
        <v>3.076923076923077</v>
      </c>
      <c r="S28" s="77">
        <f>0.08/26*1000</f>
        <v>3.076923076923077</v>
      </c>
      <c r="T28" s="88">
        <f aca="true" t="shared" si="9" ref="T28:V29">O28*1.5</f>
        <v>18.461538461538463</v>
      </c>
      <c r="U28" s="88">
        <f>T28*1.5</f>
        <v>27.692307692307693</v>
      </c>
      <c r="V28" s="88">
        <f>U28*1.5</f>
        <v>41.53846153846154</v>
      </c>
    </row>
    <row r="29" spans="1:22" ht="15.75">
      <c r="A29" s="60" t="s">
        <v>350</v>
      </c>
      <c r="B29" s="90">
        <f>SUM(C29:N29)</f>
        <v>5.13923076923077</v>
      </c>
      <c r="C29" s="77">
        <f>0.005/26*1000+0.11</f>
        <v>0.30230769230769233</v>
      </c>
      <c r="D29" s="77">
        <f aca="true" t="shared" si="10" ref="D29:I29">C29</f>
        <v>0.30230769230769233</v>
      </c>
      <c r="E29" s="77">
        <f t="shared" si="10"/>
        <v>0.30230769230769233</v>
      </c>
      <c r="F29" s="77">
        <f t="shared" si="10"/>
        <v>0.30230769230769233</v>
      </c>
      <c r="G29" s="77">
        <f t="shared" si="10"/>
        <v>0.30230769230769233</v>
      </c>
      <c r="H29" s="77">
        <f t="shared" si="10"/>
        <v>0.30230769230769233</v>
      </c>
      <c r="I29" s="77">
        <f t="shared" si="10"/>
        <v>0.30230769230769233</v>
      </c>
      <c r="J29" s="77">
        <f>I29*2</f>
        <v>0.6046153846153847</v>
      </c>
      <c r="K29" s="77">
        <f t="shared" si="8"/>
        <v>0.6046153846153847</v>
      </c>
      <c r="L29" s="77">
        <f t="shared" si="8"/>
        <v>0.6046153846153847</v>
      </c>
      <c r="M29" s="77">
        <f t="shared" si="8"/>
        <v>0.6046153846153847</v>
      </c>
      <c r="N29" s="77">
        <f t="shared" si="8"/>
        <v>0.6046153846153847</v>
      </c>
      <c r="O29" s="88">
        <f>SUM(P29:S29)</f>
        <v>0.2</v>
      </c>
      <c r="P29" s="77">
        <v>0.05</v>
      </c>
      <c r="Q29" s="77">
        <v>0.05</v>
      </c>
      <c r="R29" s="77">
        <v>0.05</v>
      </c>
      <c r="S29" s="77">
        <v>0.05</v>
      </c>
      <c r="T29" s="88">
        <f t="shared" si="9"/>
        <v>0.30000000000000004</v>
      </c>
      <c r="U29" s="88">
        <f t="shared" si="9"/>
        <v>0.07500000000000001</v>
      </c>
      <c r="V29" s="88">
        <f t="shared" si="9"/>
        <v>0.07500000000000001</v>
      </c>
    </row>
    <row r="30" spans="1:22" ht="15.75">
      <c r="A30" s="60" t="s">
        <v>164</v>
      </c>
      <c r="B30" s="90">
        <f>'5-ЗП'!C43</f>
        <v>22.400000000000002</v>
      </c>
      <c r="C30" s="77">
        <f>'5-ЗП'!D43</f>
        <v>0.7</v>
      </c>
      <c r="D30" s="77">
        <f>'5-ЗП'!E43</f>
        <v>0.7</v>
      </c>
      <c r="E30" s="77">
        <f>'5-ЗП'!F43</f>
        <v>1.4</v>
      </c>
      <c r="F30" s="77">
        <f>'5-ЗП'!G43</f>
        <v>1.4</v>
      </c>
      <c r="G30" s="77">
        <f>'5-ЗП'!H43</f>
        <v>1.4</v>
      </c>
      <c r="H30" s="77">
        <f>'5-ЗП'!I43</f>
        <v>1.4</v>
      </c>
      <c r="I30" s="77">
        <f>'5-ЗП'!J43</f>
        <v>1.4</v>
      </c>
      <c r="J30" s="77">
        <f>'5-ЗП'!K43</f>
        <v>2.8</v>
      </c>
      <c r="K30" s="77">
        <f>'5-ЗП'!L43</f>
        <v>2.8</v>
      </c>
      <c r="L30" s="77">
        <f>'5-ЗП'!M43</f>
        <v>2.8</v>
      </c>
      <c r="M30" s="77">
        <f>'5-ЗП'!N43</f>
        <v>2.8</v>
      </c>
      <c r="N30" s="77">
        <f>'5-ЗП'!O43</f>
        <v>2.8</v>
      </c>
      <c r="O30" s="88">
        <f>'5-ЗП'!P43</f>
        <v>83.07692307692308</v>
      </c>
      <c r="P30" s="77">
        <f>'5-ЗП'!Q43</f>
        <v>20.76923076923077</v>
      </c>
      <c r="Q30" s="77">
        <f>'5-ЗП'!R43</f>
        <v>20.76923076923077</v>
      </c>
      <c r="R30" s="77">
        <f>'5-ЗП'!S43</f>
        <v>20.76923076923077</v>
      </c>
      <c r="S30" s="77">
        <f>'5-ЗП'!T43</f>
        <v>20.76923076923077</v>
      </c>
      <c r="T30" s="88">
        <f>'5-ЗП'!U43</f>
        <v>83.07692307692308</v>
      </c>
      <c r="U30" s="88">
        <f>'5-ЗП'!V43</f>
        <v>83.07692307692308</v>
      </c>
      <c r="V30" s="88">
        <f>'5-ЗП'!W43</f>
        <v>83.07692307692308</v>
      </c>
    </row>
    <row r="31" spans="1:22" ht="15.75">
      <c r="A31" s="60" t="s">
        <v>152</v>
      </c>
      <c r="B31" s="90">
        <f>'5-ЗП'!C44</f>
        <v>5.823999999999999</v>
      </c>
      <c r="C31" s="77">
        <f>'5-ЗП'!D44</f>
        <v>0.182</v>
      </c>
      <c r="D31" s="77">
        <f>'5-ЗП'!E44</f>
        <v>0.182</v>
      </c>
      <c r="E31" s="77">
        <f>'5-ЗП'!F44</f>
        <v>0.364</v>
      </c>
      <c r="F31" s="77">
        <f>'5-ЗП'!G44</f>
        <v>0.364</v>
      </c>
      <c r="G31" s="77">
        <f>'5-ЗП'!H44</f>
        <v>0.364</v>
      </c>
      <c r="H31" s="77">
        <f>'5-ЗП'!I44</f>
        <v>0.364</v>
      </c>
      <c r="I31" s="77">
        <f>'5-ЗП'!J44</f>
        <v>0.364</v>
      </c>
      <c r="J31" s="77">
        <f>'5-ЗП'!K44</f>
        <v>0.728</v>
      </c>
      <c r="K31" s="77">
        <f>'5-ЗП'!L44</f>
        <v>0.728</v>
      </c>
      <c r="L31" s="77">
        <f>'5-ЗП'!M44</f>
        <v>0.728</v>
      </c>
      <c r="M31" s="77">
        <f>'5-ЗП'!N44</f>
        <v>0.728</v>
      </c>
      <c r="N31" s="77">
        <f>'5-ЗП'!O44</f>
        <v>0.728</v>
      </c>
      <c r="O31" s="88">
        <f>'5-ЗП'!P44</f>
        <v>21.6</v>
      </c>
      <c r="P31" s="77">
        <f>'5-ЗП'!Q44</f>
        <v>5.4</v>
      </c>
      <c r="Q31" s="77">
        <f>'5-ЗП'!R44</f>
        <v>5.4</v>
      </c>
      <c r="R31" s="77">
        <f>'5-ЗП'!S44</f>
        <v>5.4</v>
      </c>
      <c r="S31" s="77">
        <f>'5-ЗП'!T44</f>
        <v>5.4</v>
      </c>
      <c r="T31" s="88">
        <f>'5-ЗП'!U44</f>
        <v>21.6</v>
      </c>
      <c r="U31" s="88">
        <f>'5-ЗП'!V44</f>
        <v>21.6</v>
      </c>
      <c r="V31" s="88">
        <f>'5-ЗП'!W44</f>
        <v>21.6</v>
      </c>
    </row>
    <row r="32" spans="1:22" ht="5.25" customHeight="1">
      <c r="A32" s="60"/>
      <c r="B32" s="9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88"/>
      <c r="P32" s="77"/>
      <c r="Q32" s="77"/>
      <c r="R32" s="77"/>
      <c r="S32" s="77"/>
      <c r="T32" s="88"/>
      <c r="U32" s="88"/>
      <c r="V32" s="88"/>
    </row>
    <row r="33" spans="1:22" s="175" customFormat="1" ht="39">
      <c r="A33" s="171" t="s">
        <v>167</v>
      </c>
      <c r="B33" s="172">
        <f>SUM(B35:B38)</f>
        <v>13.017692307692307</v>
      </c>
      <c r="C33" s="173"/>
      <c r="D33" s="173"/>
      <c r="E33" s="173"/>
      <c r="F33" s="173"/>
      <c r="G33" s="173"/>
      <c r="H33" s="173"/>
      <c r="I33" s="173">
        <f>SUM(I35:I38)</f>
        <v>0.38461538461538464</v>
      </c>
      <c r="J33" s="173">
        <f aca="true" t="shared" si="11" ref="J33:T33">SUM(J35:J38)</f>
        <v>2.526615384615385</v>
      </c>
      <c r="K33" s="173">
        <f t="shared" si="11"/>
        <v>2.526615384615385</v>
      </c>
      <c r="L33" s="173">
        <f t="shared" si="11"/>
        <v>2.526615384615385</v>
      </c>
      <c r="M33" s="173">
        <f t="shared" si="11"/>
        <v>2.526615384615385</v>
      </c>
      <c r="N33" s="173">
        <f t="shared" si="11"/>
        <v>2.526615384615385</v>
      </c>
      <c r="O33" s="174">
        <f t="shared" si="11"/>
        <v>83.1076923076923</v>
      </c>
      <c r="P33" s="173">
        <f t="shared" si="11"/>
        <v>20.776923076923076</v>
      </c>
      <c r="Q33" s="173">
        <f t="shared" si="11"/>
        <v>20.776923076923076</v>
      </c>
      <c r="R33" s="173">
        <f t="shared" si="11"/>
        <v>20.776923076923076</v>
      </c>
      <c r="S33" s="173">
        <f t="shared" si="11"/>
        <v>20.776923076923076</v>
      </c>
      <c r="T33" s="174">
        <f t="shared" si="11"/>
        <v>124.66153846153846</v>
      </c>
      <c r="U33" s="174">
        <f>SUM(U35:U38)</f>
        <v>133.3153846153846</v>
      </c>
      <c r="V33" s="174">
        <f>SUM(V35:V38)</f>
        <v>159.27692307692305</v>
      </c>
    </row>
    <row r="34" spans="1:22" ht="15.75">
      <c r="A34" s="58" t="s">
        <v>162</v>
      </c>
      <c r="B34" s="161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69"/>
      <c r="Q34" s="169"/>
      <c r="R34" s="169"/>
      <c r="S34" s="169"/>
      <c r="T34" s="170"/>
      <c r="U34" s="170"/>
      <c r="V34" s="170"/>
    </row>
    <row r="35" spans="1:22" ht="15.75">
      <c r="A35" s="60" t="s">
        <v>166</v>
      </c>
      <c r="B35" s="90">
        <f>SUM(C35:N35)</f>
        <v>0</v>
      </c>
      <c r="C35" s="77"/>
      <c r="D35" s="77"/>
      <c r="E35" s="77"/>
      <c r="F35" s="77"/>
      <c r="G35" s="77"/>
      <c r="H35" s="77"/>
      <c r="I35" s="77"/>
      <c r="J35" s="480">
        <f aca="true" t="shared" si="12" ref="J35:N36">I35</f>
        <v>0</v>
      </c>
      <c r="K35" s="480">
        <f t="shared" si="12"/>
        <v>0</v>
      </c>
      <c r="L35" s="480">
        <f t="shared" si="12"/>
        <v>0</v>
      </c>
      <c r="M35" s="480">
        <f t="shared" si="12"/>
        <v>0</v>
      </c>
      <c r="N35" s="480">
        <f t="shared" si="12"/>
        <v>0</v>
      </c>
      <c r="O35" s="88">
        <f>SUM(P35:S35)</f>
        <v>23.076923076923073</v>
      </c>
      <c r="P35" s="77">
        <f>0.15/26*1000</f>
        <v>5.769230769230768</v>
      </c>
      <c r="Q35" s="77">
        <f>0.15/26*1000</f>
        <v>5.769230769230768</v>
      </c>
      <c r="R35" s="77">
        <f>0.15/26*1000</f>
        <v>5.769230769230768</v>
      </c>
      <c r="S35" s="77">
        <f>0.15/26*1000</f>
        <v>5.769230769230768</v>
      </c>
      <c r="T35" s="88">
        <f aca="true" t="shared" si="13" ref="T35:V36">O35*1.5</f>
        <v>34.61538461538461</v>
      </c>
      <c r="U35" s="88">
        <f>T35*1.5</f>
        <v>51.92307692307692</v>
      </c>
      <c r="V35" s="88">
        <f>U35*1.5</f>
        <v>77.88461538461539</v>
      </c>
    </row>
    <row r="36" spans="1:22" ht="15.75">
      <c r="A36" s="60" t="s">
        <v>350</v>
      </c>
      <c r="B36" s="90">
        <f>SUM(C36:N36)</f>
        <v>2.307692307692308</v>
      </c>
      <c r="C36" s="77"/>
      <c r="D36" s="77"/>
      <c r="E36" s="77"/>
      <c r="F36" s="77"/>
      <c r="G36" s="77"/>
      <c r="H36" s="77"/>
      <c r="I36" s="77">
        <f>0.01/26*1000</f>
        <v>0.38461538461538464</v>
      </c>
      <c r="J36" s="77">
        <f t="shared" si="12"/>
        <v>0.38461538461538464</v>
      </c>
      <c r="K36" s="77">
        <f t="shared" si="12"/>
        <v>0.38461538461538464</v>
      </c>
      <c r="L36" s="77">
        <f t="shared" si="12"/>
        <v>0.38461538461538464</v>
      </c>
      <c r="M36" s="77">
        <f t="shared" si="12"/>
        <v>0.38461538461538464</v>
      </c>
      <c r="N36" s="77">
        <f t="shared" si="12"/>
        <v>0.38461538461538464</v>
      </c>
      <c r="O36" s="88">
        <f>SUM(P36:S36)</f>
        <v>7.6923076923076925</v>
      </c>
      <c r="P36" s="77">
        <f>0.05/26*1000</f>
        <v>1.9230769230769231</v>
      </c>
      <c r="Q36" s="77">
        <f>0.05/26*1000</f>
        <v>1.9230769230769231</v>
      </c>
      <c r="R36" s="77">
        <f>0.05/26*1000</f>
        <v>1.9230769230769231</v>
      </c>
      <c r="S36" s="77">
        <f>0.05/26*1000</f>
        <v>1.9230769230769231</v>
      </c>
      <c r="T36" s="88">
        <f t="shared" si="13"/>
        <v>11.538461538461538</v>
      </c>
      <c r="U36" s="88">
        <f t="shared" si="13"/>
        <v>2.8846153846153846</v>
      </c>
      <c r="V36" s="88">
        <f t="shared" si="13"/>
        <v>2.8846153846153846</v>
      </c>
    </row>
    <row r="37" spans="1:22" ht="15.75">
      <c r="A37" s="60" t="s">
        <v>164</v>
      </c>
      <c r="B37" s="90">
        <f>'5-ЗП'!C51</f>
        <v>8.5</v>
      </c>
      <c r="C37" s="77"/>
      <c r="D37" s="77"/>
      <c r="E37" s="77"/>
      <c r="F37" s="77"/>
      <c r="G37" s="77"/>
      <c r="H37" s="77"/>
      <c r="I37" s="480">
        <f>'5-ЗП'!J51</f>
        <v>0</v>
      </c>
      <c r="J37" s="480">
        <f>'5-ЗП'!K51</f>
        <v>1.7</v>
      </c>
      <c r="K37" s="480">
        <f>'5-ЗП'!L51</f>
        <v>1.7</v>
      </c>
      <c r="L37" s="480">
        <f>'5-ЗП'!M51</f>
        <v>1.7</v>
      </c>
      <c r="M37" s="480">
        <f>'5-ЗП'!N51</f>
        <v>1.7</v>
      </c>
      <c r="N37" s="77">
        <f>'5-ЗП'!O51</f>
        <v>1.7</v>
      </c>
      <c r="O37" s="88">
        <f>'5-ЗП'!P51</f>
        <v>41.53846153846154</v>
      </c>
      <c r="P37" s="77">
        <f>'5-ЗП'!Q51</f>
        <v>10.384615384615385</v>
      </c>
      <c r="Q37" s="77">
        <f>'5-ЗП'!R51</f>
        <v>10.384615384615385</v>
      </c>
      <c r="R37" s="77">
        <f>'5-ЗП'!S51</f>
        <v>10.384615384615385</v>
      </c>
      <c r="S37" s="77">
        <f>'5-ЗП'!T51</f>
        <v>10.384615384615385</v>
      </c>
      <c r="T37" s="88">
        <f>'5-ЗП'!U51</f>
        <v>62.3076923076923</v>
      </c>
      <c r="U37" s="88">
        <f>'5-ЗП'!V51</f>
        <v>62.3076923076923</v>
      </c>
      <c r="V37" s="88">
        <f>'5-ЗП'!W51</f>
        <v>62.3076923076923</v>
      </c>
    </row>
    <row r="38" spans="1:22" ht="16.5" thickBot="1">
      <c r="A38" s="61" t="s">
        <v>152</v>
      </c>
      <c r="B38" s="98">
        <f>'5-ЗП'!C52</f>
        <v>2.21</v>
      </c>
      <c r="C38" s="78"/>
      <c r="D38" s="78"/>
      <c r="E38" s="78"/>
      <c r="F38" s="78"/>
      <c r="G38" s="78"/>
      <c r="H38" s="78"/>
      <c r="I38" s="481">
        <f>'5-ЗП'!J52</f>
        <v>0</v>
      </c>
      <c r="J38" s="481">
        <f>'5-ЗП'!K52</f>
        <v>0.442</v>
      </c>
      <c r="K38" s="481">
        <f>'5-ЗП'!L52</f>
        <v>0.442</v>
      </c>
      <c r="L38" s="481">
        <f>'5-ЗП'!M52</f>
        <v>0.442</v>
      </c>
      <c r="M38" s="481">
        <f>'5-ЗП'!N52</f>
        <v>0.442</v>
      </c>
      <c r="N38" s="78">
        <f>'5-ЗП'!O52</f>
        <v>0.442</v>
      </c>
      <c r="O38" s="89">
        <f>'5-ЗП'!P52</f>
        <v>10.8</v>
      </c>
      <c r="P38" s="78">
        <f>'5-ЗП'!Q52</f>
        <v>2.7</v>
      </c>
      <c r="Q38" s="78">
        <f>'5-ЗП'!R52</f>
        <v>2.7</v>
      </c>
      <c r="R38" s="78">
        <f>'5-ЗП'!S52</f>
        <v>2.7</v>
      </c>
      <c r="S38" s="78">
        <f>'5-ЗП'!T52</f>
        <v>2.7</v>
      </c>
      <c r="T38" s="89">
        <f>'5-ЗП'!U52</f>
        <v>16.2</v>
      </c>
      <c r="U38" s="89">
        <f>'5-ЗП'!V52</f>
        <v>16.2</v>
      </c>
      <c r="V38" s="89">
        <f>'5-ЗП'!W52</f>
        <v>16.2</v>
      </c>
    </row>
    <row r="39" spans="1:22" s="84" customFormat="1" ht="31.5">
      <c r="A39" s="49" t="s">
        <v>168</v>
      </c>
      <c r="B39" s="183">
        <f>SUM(C39:N39)</f>
        <v>877.2761666153845</v>
      </c>
      <c r="C39" s="476">
        <f aca="true" t="shared" si="14" ref="C39:I39">SUM(C40:C44)</f>
        <v>49.13061276923078</v>
      </c>
      <c r="D39" s="476">
        <f t="shared" si="14"/>
        <v>83.721768</v>
      </c>
      <c r="E39" s="476">
        <f t="shared" si="14"/>
        <v>55.396505961538466</v>
      </c>
      <c r="F39" s="476">
        <f t="shared" si="14"/>
        <v>94.52510646153847</v>
      </c>
      <c r="G39" s="476">
        <f t="shared" si="14"/>
        <v>73.96360646153846</v>
      </c>
      <c r="H39" s="476">
        <f t="shared" si="14"/>
        <v>62.51951415384616</v>
      </c>
      <c r="I39" s="476">
        <f t="shared" si="14"/>
        <v>66.06691415384616</v>
      </c>
      <c r="J39" s="88">
        <f>SUM(J41:J44)</f>
        <v>96.98253723076922</v>
      </c>
      <c r="K39" s="88">
        <f>SUM(K40:K44)</f>
        <v>73.74240035576923</v>
      </c>
      <c r="L39" s="88">
        <f>SUM(L40:L44)</f>
        <v>73.74240035576923</v>
      </c>
      <c r="M39" s="88">
        <f>SUM(M40:M44)</f>
        <v>73.74240035576923</v>
      </c>
      <c r="N39" s="88">
        <f>SUM(N40:N44)</f>
        <v>73.74240035576923</v>
      </c>
      <c r="O39" s="817">
        <f aca="true" t="shared" si="15" ref="O39:T39">SUM(O40:O44)</f>
        <v>2868.048825615385</v>
      </c>
      <c r="P39" s="88">
        <f t="shared" si="15"/>
        <v>575.9267273461539</v>
      </c>
      <c r="Q39" s="88">
        <f t="shared" si="15"/>
        <v>628.6375595384616</v>
      </c>
      <c r="R39" s="88">
        <f t="shared" si="15"/>
        <v>764.040699423077</v>
      </c>
      <c r="S39" s="88">
        <f t="shared" si="15"/>
        <v>899.4438393076924</v>
      </c>
      <c r="T39" s="183">
        <f t="shared" si="15"/>
        <v>4341.330930730769</v>
      </c>
      <c r="U39" s="183">
        <f>SUM(U40:U44)</f>
        <v>6269.759857634615</v>
      </c>
      <c r="V39" s="817">
        <f>SUM(V40:V44)</f>
        <v>9161.18305568269</v>
      </c>
    </row>
    <row r="40" spans="1:22" ht="16.5" customHeight="1">
      <c r="A40" s="58" t="s">
        <v>149</v>
      </c>
      <c r="B40" s="760"/>
      <c r="C40" s="186"/>
      <c r="D40" s="186"/>
      <c r="E40" s="186"/>
      <c r="F40" s="186"/>
      <c r="G40" s="186"/>
      <c r="H40" s="186"/>
      <c r="I40" s="186"/>
      <c r="K40" s="186"/>
      <c r="L40" s="186"/>
      <c r="M40" s="186"/>
      <c r="N40" s="186"/>
      <c r="O40" s="185"/>
      <c r="P40" s="186"/>
      <c r="Q40" s="186"/>
      <c r="R40" s="186"/>
      <c r="S40" s="186"/>
      <c r="T40" s="185"/>
      <c r="U40" s="185"/>
      <c r="V40" s="185"/>
    </row>
    <row r="41" spans="1:22" ht="15.75">
      <c r="A41" s="58" t="s">
        <v>166</v>
      </c>
      <c r="B41" s="88">
        <f aca="true" t="shared" si="16" ref="B41:N41">B12+B21+B28+B35</f>
        <v>543.5500127692309</v>
      </c>
      <c r="C41" s="77">
        <f t="shared" si="16"/>
        <v>33.89399738461539</v>
      </c>
      <c r="D41" s="77">
        <f t="shared" si="16"/>
        <v>68.4851526153846</v>
      </c>
      <c r="E41" s="77">
        <f t="shared" si="16"/>
        <v>37.27789057692308</v>
      </c>
      <c r="F41" s="77">
        <f t="shared" si="16"/>
        <v>74.89449107692309</v>
      </c>
      <c r="G41" s="77">
        <f t="shared" si="16"/>
        <v>54.33299107692307</v>
      </c>
      <c r="H41" s="77">
        <f t="shared" si="16"/>
        <v>39.86489876923077</v>
      </c>
      <c r="I41" s="77">
        <f t="shared" si="16"/>
        <v>43.027683384615386</v>
      </c>
      <c r="J41" s="77">
        <f t="shared" si="16"/>
        <v>56.946691076923074</v>
      </c>
      <c r="K41" s="77">
        <f t="shared" si="16"/>
        <v>33.706554201923076</v>
      </c>
      <c r="L41" s="77">
        <f t="shared" si="16"/>
        <v>33.706554201923076</v>
      </c>
      <c r="M41" s="77">
        <f t="shared" si="16"/>
        <v>33.706554201923076</v>
      </c>
      <c r="N41" s="77">
        <f t="shared" si="16"/>
        <v>33.706554201923076</v>
      </c>
      <c r="O41" s="88">
        <f>SUM(P41:S41)</f>
        <v>2544.9488256153845</v>
      </c>
      <c r="P41" s="77">
        <f aca="true" t="shared" si="17" ref="P41:V41">P12+P21+P28+P35</f>
        <v>496.0171119615385</v>
      </c>
      <c r="Q41" s="77">
        <f t="shared" si="17"/>
        <v>548.151021076923</v>
      </c>
      <c r="R41" s="77">
        <f t="shared" si="17"/>
        <v>682.9772378846153</v>
      </c>
      <c r="S41" s="77">
        <f t="shared" si="17"/>
        <v>817.8034546923077</v>
      </c>
      <c r="T41" s="88">
        <f t="shared" si="17"/>
        <v>3743.3847768846153</v>
      </c>
      <c r="U41" s="88">
        <f t="shared" si="17"/>
        <v>5610.077165326923</v>
      </c>
      <c r="V41" s="88">
        <f t="shared" si="17"/>
        <v>8410.115747990383</v>
      </c>
    </row>
    <row r="42" spans="1:22" ht="15.75">
      <c r="A42" s="58" t="s">
        <v>350</v>
      </c>
      <c r="B42" s="88">
        <f aca="true" t="shared" si="18" ref="B42:N42">B13+B22+B29+B36</f>
        <v>33.21615384615385</v>
      </c>
      <c r="C42" s="77">
        <f t="shared" si="18"/>
        <v>0.4946153846153847</v>
      </c>
      <c r="D42" s="77">
        <f t="shared" si="18"/>
        <v>0.4946153846153847</v>
      </c>
      <c r="E42" s="77">
        <f t="shared" si="18"/>
        <v>2.494615384615385</v>
      </c>
      <c r="F42" s="77">
        <f t="shared" si="18"/>
        <v>2.494615384615385</v>
      </c>
      <c r="G42" s="77">
        <f t="shared" si="18"/>
        <v>2.494615384615385</v>
      </c>
      <c r="H42" s="77">
        <f t="shared" si="18"/>
        <v>2.494615384615385</v>
      </c>
      <c r="I42" s="77">
        <f t="shared" si="18"/>
        <v>2.8792307692307695</v>
      </c>
      <c r="J42" s="77">
        <f t="shared" si="18"/>
        <v>3.873846153846154</v>
      </c>
      <c r="K42" s="77">
        <f t="shared" si="18"/>
        <v>3.873846153846154</v>
      </c>
      <c r="L42" s="77">
        <f t="shared" si="18"/>
        <v>3.873846153846154</v>
      </c>
      <c r="M42" s="77">
        <f t="shared" si="18"/>
        <v>3.873846153846154</v>
      </c>
      <c r="N42" s="77">
        <f t="shared" si="18"/>
        <v>3.873846153846154</v>
      </c>
      <c r="O42" s="88">
        <f aca="true" t="shared" si="19" ref="O42:T42">O13+O22+O29+O36</f>
        <v>49.77692307692308</v>
      </c>
      <c r="P42" s="77">
        <f t="shared" si="19"/>
        <v>11.578846153846154</v>
      </c>
      <c r="Q42" s="77">
        <f t="shared" si="19"/>
        <v>12.155769230769232</v>
      </c>
      <c r="R42" s="77">
        <f t="shared" si="19"/>
        <v>12.732692307692309</v>
      </c>
      <c r="S42" s="77">
        <f t="shared" si="19"/>
        <v>13.309615384615386</v>
      </c>
      <c r="T42" s="88">
        <f t="shared" si="19"/>
        <v>94.91538461538461</v>
      </c>
      <c r="U42" s="88">
        <f>U13+U22+U29+U36</f>
        <v>127.575</v>
      </c>
      <c r="V42" s="88">
        <f>V13+V22+V29+V36</f>
        <v>189.8826923076923</v>
      </c>
    </row>
    <row r="43" spans="1:22" ht="15.75">
      <c r="A43" s="58" t="s">
        <v>164</v>
      </c>
      <c r="B43" s="88">
        <f>SUM(C43:N43)</f>
        <v>238.49999999999997</v>
      </c>
      <c r="C43" s="77">
        <f aca="true" t="shared" si="20" ref="B43:N44">C37+C30+C23+C15</f>
        <v>11.7</v>
      </c>
      <c r="D43" s="77">
        <f t="shared" si="20"/>
        <v>11.7</v>
      </c>
      <c r="E43" s="77">
        <f t="shared" si="20"/>
        <v>12.4</v>
      </c>
      <c r="F43" s="77">
        <f t="shared" si="20"/>
        <v>13.6</v>
      </c>
      <c r="G43" s="77">
        <f t="shared" si="20"/>
        <v>13.6</v>
      </c>
      <c r="H43" s="77">
        <f t="shared" si="20"/>
        <v>16</v>
      </c>
      <c r="I43" s="77">
        <f t="shared" si="20"/>
        <v>16</v>
      </c>
      <c r="J43" s="77">
        <f t="shared" si="20"/>
        <v>28.7</v>
      </c>
      <c r="K43" s="77">
        <f t="shared" si="20"/>
        <v>28.7</v>
      </c>
      <c r="L43" s="77">
        <f t="shared" si="20"/>
        <v>28.7</v>
      </c>
      <c r="M43" s="77">
        <f t="shared" si="20"/>
        <v>28.7</v>
      </c>
      <c r="N43" s="77">
        <f t="shared" si="20"/>
        <v>28.7</v>
      </c>
      <c r="O43" s="88">
        <f aca="true" t="shared" si="21" ref="O43:T44">O37+O30+O23+O15</f>
        <v>216.92307692307693</v>
      </c>
      <c r="P43" s="77">
        <f t="shared" si="21"/>
        <v>54.23076923076923</v>
      </c>
      <c r="Q43" s="77">
        <f t="shared" si="21"/>
        <v>54.23076923076923</v>
      </c>
      <c r="R43" s="77">
        <f t="shared" si="21"/>
        <v>54.23076923076923</v>
      </c>
      <c r="S43" s="77">
        <f t="shared" si="21"/>
        <v>54.23076923076923</v>
      </c>
      <c r="T43" s="88">
        <f t="shared" si="21"/>
        <v>399.2307692307693</v>
      </c>
      <c r="U43" s="88">
        <f>U37+U30+U23+U15</f>
        <v>422.30769230769226</v>
      </c>
      <c r="V43" s="88">
        <f>V37+V30+V23+V15</f>
        <v>445.38461538461536</v>
      </c>
    </row>
    <row r="44" spans="1:22" ht="16.5" thickBot="1">
      <c r="A44" s="59" t="s">
        <v>152</v>
      </c>
      <c r="B44" s="88">
        <f t="shared" si="20"/>
        <v>62.01</v>
      </c>
      <c r="C44" s="77">
        <f t="shared" si="20"/>
        <v>3.0420000000000003</v>
      </c>
      <c r="D44" s="77">
        <f t="shared" si="20"/>
        <v>3.0420000000000003</v>
      </c>
      <c r="E44" s="77">
        <f t="shared" si="20"/>
        <v>3.224</v>
      </c>
      <c r="F44" s="77">
        <f t="shared" si="20"/>
        <v>3.536</v>
      </c>
      <c r="G44" s="77">
        <f t="shared" si="20"/>
        <v>3.536</v>
      </c>
      <c r="H44" s="77">
        <f t="shared" si="20"/>
        <v>4.16</v>
      </c>
      <c r="I44" s="77">
        <f t="shared" si="20"/>
        <v>4.16</v>
      </c>
      <c r="J44" s="77">
        <f t="shared" si="20"/>
        <v>7.462</v>
      </c>
      <c r="K44" s="77">
        <f t="shared" si="20"/>
        <v>7.462</v>
      </c>
      <c r="L44" s="77">
        <f t="shared" si="20"/>
        <v>7.462</v>
      </c>
      <c r="M44" s="77">
        <f t="shared" si="20"/>
        <v>7.462</v>
      </c>
      <c r="N44" s="77">
        <f t="shared" si="20"/>
        <v>7.462</v>
      </c>
      <c r="O44" s="88">
        <f t="shared" si="21"/>
        <v>56.400000000000006</v>
      </c>
      <c r="P44" s="77">
        <f t="shared" si="21"/>
        <v>14.100000000000001</v>
      </c>
      <c r="Q44" s="77">
        <f t="shared" si="21"/>
        <v>14.100000000000001</v>
      </c>
      <c r="R44" s="77">
        <f t="shared" si="21"/>
        <v>14.100000000000001</v>
      </c>
      <c r="S44" s="77">
        <f t="shared" si="21"/>
        <v>14.100000000000001</v>
      </c>
      <c r="T44" s="88">
        <f t="shared" si="21"/>
        <v>103.80000000000001</v>
      </c>
      <c r="U44" s="88">
        <f>U38+U31+U24+U16</f>
        <v>109.79999999999998</v>
      </c>
      <c r="V44" s="88">
        <f>V38+V31+V24+V16</f>
        <v>115.8</v>
      </c>
    </row>
    <row r="45" spans="1:22" ht="32.25" thickBot="1">
      <c r="A45" s="47" t="s">
        <v>169</v>
      </c>
      <c r="B45" s="97">
        <f>(1-1/1.18)*(B41+B42)</f>
        <v>87.98127965319424</v>
      </c>
      <c r="C45" s="187">
        <f aca="true" t="shared" si="22" ref="C45:T45">(1-1/1.18)*(C41+C42)</f>
        <v>5.245720591916556</v>
      </c>
      <c r="D45" s="187">
        <f t="shared" si="22"/>
        <v>10.522337491525418</v>
      </c>
      <c r="E45" s="187">
        <f t="shared" si="22"/>
        <v>6.066992434810949</v>
      </c>
      <c r="F45" s="187">
        <f t="shared" si="22"/>
        <v>11.805117934810948</v>
      </c>
      <c r="G45" s="187">
        <f t="shared" si="22"/>
        <v>8.668617934810946</v>
      </c>
      <c r="H45" s="187">
        <f t="shared" si="22"/>
        <v>6.461620803129072</v>
      </c>
      <c r="I45" s="187">
        <f t="shared" si="22"/>
        <v>7.002749616688394</v>
      </c>
      <c r="J45" s="187">
        <f t="shared" si="22"/>
        <v>9.277709069100386</v>
      </c>
      <c r="K45" s="187">
        <f t="shared" si="22"/>
        <v>5.732603444100388</v>
      </c>
      <c r="L45" s="187">
        <f t="shared" si="22"/>
        <v>5.732603444100388</v>
      </c>
      <c r="M45" s="187">
        <f t="shared" si="22"/>
        <v>5.732603444100388</v>
      </c>
      <c r="N45" s="187">
        <f t="shared" si="22"/>
        <v>5.732603444100388</v>
      </c>
      <c r="O45" s="97">
        <f t="shared" si="22"/>
        <v>395.80562268187725</v>
      </c>
      <c r="P45" s="187">
        <f t="shared" si="22"/>
        <v>77.4298919159061</v>
      </c>
      <c r="Q45" s="187">
        <f t="shared" si="22"/>
        <v>85.47052733507167</v>
      </c>
      <c r="R45" s="187">
        <f t="shared" si="22"/>
        <v>106.12524358865704</v>
      </c>
      <c r="S45" s="187">
        <f t="shared" si="22"/>
        <v>126.77995984224245</v>
      </c>
      <c r="T45" s="97">
        <f t="shared" si="22"/>
        <v>585.5034144661014</v>
      </c>
      <c r="U45" s="97">
        <f>(1-1/1.18)*(U41+U42)</f>
        <v>875.2350760668184</v>
      </c>
      <c r="V45" s="97">
        <f>(1-1/1.18)*(V41+V42)</f>
        <v>1311.8641688590278</v>
      </c>
    </row>
    <row r="46" spans="1:2" ht="15.75">
      <c r="A46" s="51" t="s">
        <v>170</v>
      </c>
      <c r="B46" s="96"/>
    </row>
    <row r="47" spans="1:16" ht="16.5" thickBot="1">
      <c r="A47" s="51" t="s">
        <v>299</v>
      </c>
      <c r="B47" s="96"/>
      <c r="K47" s="84"/>
      <c r="P47" s="84"/>
    </row>
    <row r="48" spans="1:17" s="33" customFormat="1" ht="16.5" thickBot="1">
      <c r="A48" s="51"/>
      <c r="D48" s="196" t="s">
        <v>1</v>
      </c>
      <c r="E48" s="197"/>
      <c r="F48" s="196" t="s">
        <v>44</v>
      </c>
      <c r="G48" s="197"/>
      <c r="H48" s="196" t="s">
        <v>46</v>
      </c>
      <c r="I48" s="197"/>
      <c r="J48" s="196" t="s">
        <v>317</v>
      </c>
      <c r="K48" s="197"/>
      <c r="L48" s="196" t="s">
        <v>318</v>
      </c>
      <c r="M48" s="197"/>
      <c r="Q48" s="30"/>
    </row>
    <row r="49" spans="1:17" s="33" customFormat="1" ht="16.5" thickBot="1">
      <c r="A49" s="51"/>
      <c r="D49" s="198" t="s">
        <v>367</v>
      </c>
      <c r="E49" s="199" t="s">
        <v>45</v>
      </c>
      <c r="F49" s="198" t="s">
        <v>367</v>
      </c>
      <c r="G49" s="199" t="s">
        <v>45</v>
      </c>
      <c r="H49" s="198" t="s">
        <v>367</v>
      </c>
      <c r="I49" s="199" t="s">
        <v>45</v>
      </c>
      <c r="J49" s="198" t="s">
        <v>367</v>
      </c>
      <c r="K49" s="199" t="s">
        <v>45</v>
      </c>
      <c r="L49" s="198" t="s">
        <v>367</v>
      </c>
      <c r="M49" s="199" t="s">
        <v>45</v>
      </c>
      <c r="Q49" s="30"/>
    </row>
    <row r="50" spans="1:17" s="33" customFormat="1" ht="15.75">
      <c r="A50" s="33" t="s">
        <v>278</v>
      </c>
      <c r="D50" s="200">
        <f>4!C16</f>
        <v>461.53846153846155</v>
      </c>
      <c r="E50" s="201"/>
      <c r="F50" s="200">
        <f>D50*1.09</f>
        <v>503.07692307692315</v>
      </c>
      <c r="G50" s="201"/>
      <c r="H50" s="200">
        <f>F50*1.09</f>
        <v>548.3538461538462</v>
      </c>
      <c r="I50" s="201"/>
      <c r="J50" s="200">
        <f>H50*1.09</f>
        <v>597.7056923076924</v>
      </c>
      <c r="K50" s="201"/>
      <c r="L50" s="200">
        <f>J50*1.09</f>
        <v>651.4992046153848</v>
      </c>
      <c r="M50" s="201"/>
      <c r="Q50" s="30"/>
    </row>
    <row r="51" spans="1:17" s="33" customFormat="1" ht="15.75">
      <c r="A51" s="33" t="s">
        <v>270</v>
      </c>
      <c r="D51" s="202">
        <f>(B39-B33)/B8</f>
        <v>288.08615810256407</v>
      </c>
      <c r="E51" s="203">
        <f>D51/D50*100</f>
        <v>62.41866758888888</v>
      </c>
      <c r="F51" s="202">
        <f>(O39-O33)/O8</f>
        <v>154.71895185042737</v>
      </c>
      <c r="G51" s="203">
        <f>F51/F50*100</f>
        <v>30.7545317133877</v>
      </c>
      <c r="H51" s="202">
        <f>(T39-T33)/T8</f>
        <v>156.17294045441594</v>
      </c>
      <c r="I51" s="203">
        <f>H51/H50*100</f>
        <v>28.480321885186527</v>
      </c>
      <c r="J51" s="202">
        <f>(U39-U33)/U8</f>
        <v>151.51714748195633</v>
      </c>
      <c r="K51" s="203">
        <f>J51/J50*100</f>
        <v>25.349791616834217</v>
      </c>
      <c r="L51" s="202">
        <f>(V39-V33)/V8</f>
        <v>148.17952481655584</v>
      </c>
      <c r="M51" s="203">
        <f>L51/L50*100</f>
        <v>22.744390747803635</v>
      </c>
      <c r="Q51" s="30"/>
    </row>
    <row r="52" spans="1:17" s="33" customFormat="1" ht="15.75">
      <c r="A52" s="33" t="s">
        <v>271</v>
      </c>
      <c r="D52" s="202">
        <f>B39/B8</f>
        <v>292.42538887179484</v>
      </c>
      <c r="E52" s="203">
        <f>D52/D50*100</f>
        <v>63.35883425555555</v>
      </c>
      <c r="F52" s="202">
        <f>O39/O8</f>
        <v>159.3360458675214</v>
      </c>
      <c r="G52" s="203">
        <f>F52/F50*100</f>
        <v>31.672302695378868</v>
      </c>
      <c r="H52" s="202">
        <f>T39/T8</f>
        <v>160.79003447150995</v>
      </c>
      <c r="I52" s="203">
        <f>H52/H50*100</f>
        <v>29.32231361178393</v>
      </c>
      <c r="J52" s="202">
        <f>U39/U8</f>
        <v>154.8088853736942</v>
      </c>
      <c r="K52" s="203">
        <f>J52/J50*100</f>
        <v>25.900520501317274</v>
      </c>
      <c r="L52" s="202">
        <f>V39/V8</f>
        <v>150.80136717173153</v>
      </c>
      <c r="M52" s="203">
        <f>L52/L50*100</f>
        <v>23.146822912970052</v>
      </c>
      <c r="Q52" s="30"/>
    </row>
    <row r="53" spans="1:17" s="33" customFormat="1" ht="15.75">
      <c r="A53" s="33" t="s">
        <v>273</v>
      </c>
      <c r="D53" s="202">
        <f>(B39-B9)/B8</f>
        <v>84.38748717948708</v>
      </c>
      <c r="E53" s="204">
        <f>D53/D52*100%</f>
        <v>0.28857784033411765</v>
      </c>
      <c r="F53" s="202">
        <f>(O39-O9)/O8</f>
        <v>18.721367521367533</v>
      </c>
      <c r="G53" s="204">
        <f>F53/F52*100%</f>
        <v>0.1174961222329645</v>
      </c>
      <c r="H53" s="202">
        <f>(T39-T9)/T8</f>
        <v>12.425356125356133</v>
      </c>
      <c r="I53" s="204">
        <f>H53/H52*100%</f>
        <v>0.07727690441883546</v>
      </c>
      <c r="J53" s="202">
        <f>(U39-U9)/U8</f>
        <v>8.705745489078838</v>
      </c>
      <c r="K53" s="204">
        <f>J53/J52*100%</f>
        <v>0.05623543808912505</v>
      </c>
      <c r="L53" s="202">
        <f>(V39-V9)/V8</f>
        <v>6.538569167458016</v>
      </c>
      <c r="M53" s="204">
        <f>L53/L52*100%</f>
        <v>0.04335881888930052</v>
      </c>
      <c r="Q53" s="30"/>
    </row>
    <row r="54" spans="1:17" s="33" customFormat="1" ht="16.5" thickBot="1">
      <c r="A54" s="33" t="s">
        <v>272</v>
      </c>
      <c r="D54" s="205">
        <f>B9/B8</f>
        <v>208.03790169230774</v>
      </c>
      <c r="E54" s="206">
        <f>D54/D52*100%</f>
        <v>0.7114221596658823</v>
      </c>
      <c r="F54" s="205">
        <f>O9/O8</f>
        <v>140.61467834615385</v>
      </c>
      <c r="G54" s="206">
        <f>F54/F52*100%</f>
        <v>0.8825038777670354</v>
      </c>
      <c r="H54" s="205">
        <f>T9/T8</f>
        <v>148.36467834615382</v>
      </c>
      <c r="I54" s="206">
        <f>H54/H52*100%</f>
        <v>0.9227230955811645</v>
      </c>
      <c r="J54" s="205">
        <f>U9/U8</f>
        <v>146.10313988461536</v>
      </c>
      <c r="K54" s="206">
        <f>J54/J52*100%</f>
        <v>0.9437645619108749</v>
      </c>
      <c r="L54" s="205">
        <f>V9/V8</f>
        <v>144.2627980042735</v>
      </c>
      <c r="M54" s="206">
        <f>L54/L52*100%</f>
        <v>0.9566411811106994</v>
      </c>
      <c r="Q54" s="30"/>
    </row>
    <row r="55" spans="1:17" s="33" customFormat="1" ht="16.5" thickBot="1">
      <c r="A55" s="33" t="s">
        <v>277</v>
      </c>
      <c r="D55" s="761">
        <f>8!B7-'6-затраты'!B9</f>
        <v>760.5016795384615</v>
      </c>
      <c r="E55" s="762"/>
      <c r="F55" s="763">
        <f>8!O7-O9</f>
        <v>6524.320405153848</v>
      </c>
      <c r="G55" s="764"/>
      <c r="H55" s="763">
        <f>8!T7-T9</f>
        <v>10799.707530807696</v>
      </c>
      <c r="I55" s="764"/>
      <c r="J55" s="763">
        <f>8!U7-U9</f>
        <v>18289.90337313462</v>
      </c>
      <c r="K55" s="764"/>
      <c r="L55" s="763">
        <f>8!V7-V9</f>
        <v>30814.611701625014</v>
      </c>
      <c r="M55" s="252"/>
      <c r="Q55" s="30"/>
    </row>
    <row r="56" spans="4:20" s="33" customFormat="1" ht="16.5" thickBot="1">
      <c r="D56" s="765" t="s">
        <v>263</v>
      </c>
      <c r="E56" s="766" t="s">
        <v>367</v>
      </c>
      <c r="O56" s="30"/>
      <c r="T56" s="30"/>
    </row>
    <row r="57" spans="1:22" s="33" customFormat="1" ht="15.75">
      <c r="A57" s="33" t="s">
        <v>387</v>
      </c>
      <c r="D57" s="207">
        <f>B17/(D50-D54)</f>
        <v>0.68930571483326</v>
      </c>
      <c r="E57" s="208">
        <f>B17/(D55/8!B7)</f>
        <v>318.14109915381226</v>
      </c>
      <c r="O57" s="1350" t="s">
        <v>492</v>
      </c>
      <c r="P57" s="1350"/>
      <c r="Q57" s="1350"/>
      <c r="R57" s="1350"/>
      <c r="S57" s="1350"/>
      <c r="T57" s="487"/>
      <c r="U57" s="1350"/>
      <c r="V57" s="1350"/>
    </row>
    <row r="58" spans="1:20" s="33" customFormat="1" ht="16.5" thickBot="1">
      <c r="A58" s="33" t="s">
        <v>483</v>
      </c>
      <c r="D58" s="209">
        <f>B8-D57</f>
        <v>2.31069428516674</v>
      </c>
      <c r="E58" s="1141">
        <f>4!C10-'6-затраты'!E57</f>
        <v>1066.4742854615724</v>
      </c>
      <c r="H58" s="30"/>
      <c r="O58" s="30"/>
      <c r="T58" s="30"/>
    </row>
  </sheetData>
  <mergeCells count="10">
    <mergeCell ref="U5:U6"/>
    <mergeCell ref="V5:V6"/>
    <mergeCell ref="T5:T6"/>
    <mergeCell ref="A3:A6"/>
    <mergeCell ref="B3:N4"/>
    <mergeCell ref="O3:S4"/>
    <mergeCell ref="B5:B6"/>
    <mergeCell ref="C5:N5"/>
    <mergeCell ref="O5:O6"/>
    <mergeCell ref="P5:S5"/>
  </mergeCells>
  <printOptions/>
  <pageMargins left="0.69" right="0.23" top="0.4" bottom="0.21" header="0.4" footer="0.21"/>
  <pageSetup fitToHeight="2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SheetLayoutView="75" workbookViewId="0" topLeftCell="A1">
      <pane xSplit="3390" topLeftCell="B1" activePane="topLeft" state="split"/>
      <selection pane="topLeft" activeCell="C2" sqref="A2:IV2"/>
      <selection pane="topRight" activeCell="D19" sqref="D19"/>
    </sheetView>
  </sheetViews>
  <sheetFormatPr defaultColWidth="9.00390625" defaultRowHeight="12.75"/>
  <cols>
    <col min="1" max="1" width="38.75390625" style="100" customWidth="1"/>
    <col min="2" max="2" width="11.25390625" style="189" customWidth="1"/>
    <col min="3" max="3" width="11.375" style="96" customWidth="1"/>
    <col min="4" max="15" width="8.75390625" style="100" customWidth="1"/>
    <col min="16" max="16" width="9.75390625" style="96" customWidth="1"/>
    <col min="17" max="20" width="9.75390625" style="100" customWidth="1"/>
    <col min="21" max="21" width="9.75390625" style="96" customWidth="1"/>
    <col min="22" max="22" width="9.75390625" style="100" customWidth="1"/>
    <col min="23" max="23" width="11.25390625" style="100" customWidth="1"/>
    <col min="24" max="16384" width="9.125" style="100" customWidth="1"/>
  </cols>
  <sheetData>
    <row r="1" spans="1:13" ht="23.25" thickBot="1">
      <c r="A1" s="210" t="s">
        <v>172</v>
      </c>
      <c r="H1" s="102" t="s">
        <v>465</v>
      </c>
      <c r="M1" s="101" t="s">
        <v>171</v>
      </c>
    </row>
    <row r="2" spans="1:23" ht="84" customHeight="1" thickBot="1">
      <c r="A2" s="1251" t="s">
        <v>136</v>
      </c>
      <c r="B2" s="1251" t="s">
        <v>173</v>
      </c>
      <c r="C2" s="1254" t="s">
        <v>1</v>
      </c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6"/>
      <c r="P2" s="1254" t="s">
        <v>44</v>
      </c>
      <c r="Q2" s="1255"/>
      <c r="R2" s="1255"/>
      <c r="S2" s="1255"/>
      <c r="T2" s="1256"/>
      <c r="U2" s="97" t="s">
        <v>46</v>
      </c>
      <c r="V2" s="97" t="s">
        <v>317</v>
      </c>
      <c r="W2" s="97" t="s">
        <v>318</v>
      </c>
    </row>
    <row r="3" spans="1:23" ht="34.5" customHeight="1" thickBot="1">
      <c r="A3" s="1252"/>
      <c r="B3" s="1252"/>
      <c r="C3" s="1257" t="s">
        <v>112</v>
      </c>
      <c r="D3" s="1214" t="s">
        <v>292</v>
      </c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6"/>
      <c r="P3" s="1249" t="s">
        <v>112</v>
      </c>
      <c r="Q3" s="1260" t="s">
        <v>113</v>
      </c>
      <c r="R3" s="1261"/>
      <c r="S3" s="1261"/>
      <c r="T3" s="1262"/>
      <c r="U3" s="250" t="s">
        <v>112</v>
      </c>
      <c r="V3" s="250" t="s">
        <v>112</v>
      </c>
      <c r="W3" s="250" t="s">
        <v>112</v>
      </c>
    </row>
    <row r="4" spans="1:23" ht="42.75" customHeight="1" thickBot="1">
      <c r="A4" s="1253"/>
      <c r="B4" s="1253"/>
      <c r="C4" s="1258"/>
      <c r="D4" s="38" t="s">
        <v>114</v>
      </c>
      <c r="E4" s="38" t="s">
        <v>115</v>
      </c>
      <c r="F4" s="38" t="s">
        <v>116</v>
      </c>
      <c r="G4" s="38" t="s">
        <v>117</v>
      </c>
      <c r="H4" s="38" t="s">
        <v>284</v>
      </c>
      <c r="I4" s="38" t="s">
        <v>285</v>
      </c>
      <c r="J4" s="38" t="s">
        <v>286</v>
      </c>
      <c r="K4" s="166" t="s">
        <v>287</v>
      </c>
      <c r="L4" s="168" t="s">
        <v>288</v>
      </c>
      <c r="M4" s="38" t="s">
        <v>289</v>
      </c>
      <c r="N4" s="38" t="s">
        <v>290</v>
      </c>
      <c r="O4" s="38" t="s">
        <v>291</v>
      </c>
      <c r="P4" s="1259"/>
      <c r="Q4" s="103" t="s">
        <v>114</v>
      </c>
      <c r="R4" s="103" t="s">
        <v>115</v>
      </c>
      <c r="S4" s="103" t="s">
        <v>116</v>
      </c>
      <c r="T4" s="103" t="s">
        <v>117</v>
      </c>
      <c r="U4" s="251"/>
      <c r="V4" s="251"/>
      <c r="W4" s="251"/>
    </row>
    <row r="5" spans="1:23" s="113" customFormat="1" ht="22.5" customHeight="1" thickBot="1">
      <c r="A5" s="111">
        <v>1</v>
      </c>
      <c r="B5" s="112">
        <v>2</v>
      </c>
      <c r="C5" s="363">
        <v>3</v>
      </c>
      <c r="D5" s="262">
        <v>4</v>
      </c>
      <c r="E5" s="263">
        <v>5</v>
      </c>
      <c r="F5" s="263">
        <v>6</v>
      </c>
      <c r="G5" s="263">
        <v>7</v>
      </c>
      <c r="H5" s="263">
        <v>8</v>
      </c>
      <c r="I5" s="263">
        <v>9</v>
      </c>
      <c r="J5" s="263">
        <v>10</v>
      </c>
      <c r="K5" s="264">
        <v>11</v>
      </c>
      <c r="L5" s="262">
        <v>12</v>
      </c>
      <c r="M5" s="263">
        <v>13</v>
      </c>
      <c r="N5" s="263">
        <v>14</v>
      </c>
      <c r="O5" s="263">
        <v>15</v>
      </c>
      <c r="P5" s="247">
        <v>16</v>
      </c>
      <c r="Q5" s="263">
        <v>17</v>
      </c>
      <c r="R5" s="263">
        <v>18</v>
      </c>
      <c r="S5" s="263">
        <v>19</v>
      </c>
      <c r="T5" s="263">
        <v>20</v>
      </c>
      <c r="U5" s="247">
        <v>21</v>
      </c>
      <c r="V5" s="247">
        <v>22</v>
      </c>
      <c r="W5" s="247">
        <v>23</v>
      </c>
    </row>
    <row r="6" spans="1:23" ht="48" thickBot="1">
      <c r="A6" s="104" t="s">
        <v>174</v>
      </c>
      <c r="B6" s="190"/>
      <c r="C6" s="364">
        <f>C8+C13</f>
        <v>819.1156153846154</v>
      </c>
      <c r="D6" s="827">
        <f aca="true" t="shared" si="0" ref="D6:W6">D8+D13</f>
        <v>786.1538461538462</v>
      </c>
      <c r="E6" s="828">
        <f t="shared" si="0"/>
        <v>797.6923076923077</v>
      </c>
      <c r="F6" s="828">
        <f t="shared" si="0"/>
        <v>795.4233076923077</v>
      </c>
      <c r="G6" s="828">
        <f t="shared" si="0"/>
        <v>792.1923076923077</v>
      </c>
      <c r="H6" s="828">
        <f t="shared" si="0"/>
        <v>792.1923076923077</v>
      </c>
      <c r="I6" s="828">
        <f t="shared" si="0"/>
        <v>799.8846153846154</v>
      </c>
      <c r="J6" s="828">
        <f t="shared" si="0"/>
        <v>804.8846153846154</v>
      </c>
      <c r="K6" s="828">
        <f t="shared" si="0"/>
        <v>804.8846153846154</v>
      </c>
      <c r="L6" s="828">
        <f t="shared" si="0"/>
        <v>804.8846153846154</v>
      </c>
      <c r="M6" s="828">
        <f t="shared" si="0"/>
        <v>804.8846153846154</v>
      </c>
      <c r="N6" s="828">
        <f t="shared" si="0"/>
        <v>804.8846153846154</v>
      </c>
      <c r="O6" s="829">
        <f t="shared" si="0"/>
        <v>804.8846153846154</v>
      </c>
      <c r="P6" s="294">
        <f>T6</f>
        <v>902.5769230769231</v>
      </c>
      <c r="Q6" s="296">
        <f t="shared" si="0"/>
        <v>887.5769230769231</v>
      </c>
      <c r="R6" s="297">
        <f t="shared" si="0"/>
        <v>887.5769230769231</v>
      </c>
      <c r="S6" s="297">
        <f t="shared" si="0"/>
        <v>887.5769230769231</v>
      </c>
      <c r="T6" s="298">
        <f t="shared" si="0"/>
        <v>902.5769230769231</v>
      </c>
      <c r="U6" s="138">
        <f t="shared" si="0"/>
        <v>982.5769230769231</v>
      </c>
      <c r="V6" s="135">
        <f t="shared" si="0"/>
        <v>1102.576923076923</v>
      </c>
      <c r="W6" s="135">
        <f t="shared" si="0"/>
        <v>1267.576923076923</v>
      </c>
    </row>
    <row r="7" spans="1:23" ht="15.75">
      <c r="A7" s="105" t="s">
        <v>109</v>
      </c>
      <c r="B7" s="799"/>
      <c r="C7" s="804"/>
      <c r="D7" s="801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795"/>
      <c r="P7" s="273"/>
      <c r="Q7" s="801"/>
      <c r="R7" s="356"/>
      <c r="S7" s="356"/>
      <c r="T7" s="795"/>
      <c r="U7" s="273"/>
      <c r="V7" s="273"/>
      <c r="W7" s="273"/>
    </row>
    <row r="8" spans="1:23" ht="15.75">
      <c r="A8" s="106" t="s">
        <v>175</v>
      </c>
      <c r="B8" s="799"/>
      <c r="C8" s="805">
        <f>SUM(C10:C12)</f>
        <v>61.61561538461539</v>
      </c>
      <c r="D8" s="830">
        <f aca="true" t="shared" si="1" ref="D8:W8">SUM(D10:D12)</f>
        <v>28.653846153846157</v>
      </c>
      <c r="E8" s="831">
        <f t="shared" si="1"/>
        <v>40.19230769230769</v>
      </c>
      <c r="F8" s="831">
        <f t="shared" si="1"/>
        <v>37.923307692307695</v>
      </c>
      <c r="G8" s="831">
        <f t="shared" si="1"/>
        <v>34.69230769230769</v>
      </c>
      <c r="H8" s="831">
        <f t="shared" si="1"/>
        <v>34.69230769230769</v>
      </c>
      <c r="I8" s="831">
        <f t="shared" si="1"/>
        <v>42.38461538461539</v>
      </c>
      <c r="J8" s="831">
        <f t="shared" si="1"/>
        <v>47.38461538461539</v>
      </c>
      <c r="K8" s="831">
        <f t="shared" si="1"/>
        <v>47.38461538461539</v>
      </c>
      <c r="L8" s="831">
        <f t="shared" si="1"/>
        <v>47.38461538461539</v>
      </c>
      <c r="M8" s="831">
        <f t="shared" si="1"/>
        <v>47.38461538461539</v>
      </c>
      <c r="N8" s="831">
        <f t="shared" si="1"/>
        <v>47.38461538461539</v>
      </c>
      <c r="O8" s="832">
        <f t="shared" si="1"/>
        <v>47.38461538461539</v>
      </c>
      <c r="P8" s="161">
        <f t="shared" si="1"/>
        <v>145.0769230769231</v>
      </c>
      <c r="Q8" s="801">
        <f t="shared" si="1"/>
        <v>130.0769230769231</v>
      </c>
      <c r="R8" s="356">
        <f t="shared" si="1"/>
        <v>130.0769230769231</v>
      </c>
      <c r="S8" s="356">
        <f t="shared" si="1"/>
        <v>130.0769230769231</v>
      </c>
      <c r="T8" s="795">
        <f t="shared" si="1"/>
        <v>145.0769230769231</v>
      </c>
      <c r="U8" s="161">
        <f t="shared" si="1"/>
        <v>225.0769230769231</v>
      </c>
      <c r="V8" s="161">
        <f t="shared" si="1"/>
        <v>345.0769230769231</v>
      </c>
      <c r="W8" s="161">
        <f t="shared" si="1"/>
        <v>510.0769230769231</v>
      </c>
    </row>
    <row r="9" spans="1:23" ht="15.75">
      <c r="A9" s="106" t="s">
        <v>162</v>
      </c>
      <c r="B9" s="799"/>
      <c r="C9" s="805"/>
      <c r="D9" s="833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5"/>
      <c r="P9" s="161"/>
      <c r="Q9" s="802"/>
      <c r="R9" s="794"/>
      <c r="S9" s="794"/>
      <c r="T9" s="796"/>
      <c r="U9" s="161"/>
      <c r="V9" s="161"/>
      <c r="W9" s="161"/>
    </row>
    <row r="10" spans="1:23" ht="15.75">
      <c r="A10" s="107" t="s">
        <v>176</v>
      </c>
      <c r="B10" s="800">
        <v>0.1</v>
      </c>
      <c r="C10" s="792">
        <f>'2-инвестиции'!C16</f>
        <v>0</v>
      </c>
      <c r="D10" s="821">
        <f>'2-инвестиции'!D16</f>
        <v>0</v>
      </c>
      <c r="E10" s="822">
        <f>'2-инвестиции'!E16</f>
        <v>0</v>
      </c>
      <c r="F10" s="822">
        <f>'2-инвестиции'!F16</f>
        <v>0</v>
      </c>
      <c r="G10" s="822">
        <f>'2-инвестиции'!G16</f>
        <v>0</v>
      </c>
      <c r="H10" s="822">
        <f>'2-инвестиции'!H16</f>
        <v>0</v>
      </c>
      <c r="I10" s="822">
        <f>'2-инвестиции'!I16</f>
        <v>0</v>
      </c>
      <c r="J10" s="822">
        <f>'2-инвестиции'!J16</f>
        <v>0</v>
      </c>
      <c r="K10" s="822">
        <f>'2-инвестиции'!K16</f>
        <v>0</v>
      </c>
      <c r="L10" s="822">
        <f>'2-инвестиции'!L16</f>
        <v>0</v>
      </c>
      <c r="M10" s="822">
        <f>'2-инвестиции'!M16</f>
        <v>0</v>
      </c>
      <c r="N10" s="822">
        <f>'2-инвестиции'!N16</f>
        <v>0</v>
      </c>
      <c r="O10" s="823">
        <f>'2-инвестиции'!O16</f>
        <v>0</v>
      </c>
      <c r="P10" s="798">
        <f>T10</f>
        <v>15</v>
      </c>
      <c r="Q10" s="318">
        <f>'2-инвестиции'!Q16</f>
        <v>0</v>
      </c>
      <c r="R10" s="295">
        <f>'2-инвестиции'!R16</f>
        <v>0</v>
      </c>
      <c r="S10" s="295">
        <f>'2-инвестиции'!S16</f>
        <v>0</v>
      </c>
      <c r="T10" s="807">
        <f>'2-инвестиции'!T16</f>
        <v>15</v>
      </c>
      <c r="U10" s="798">
        <f>'2-инвестиции'!U16+P10</f>
        <v>45</v>
      </c>
      <c r="V10" s="798">
        <f>'2-инвестиции'!V16+U10</f>
        <v>95</v>
      </c>
      <c r="W10" s="798">
        <f>'2-инвестиции'!W16+V10</f>
        <v>165</v>
      </c>
    </row>
    <row r="11" spans="1:23" ht="15.75">
      <c r="A11" s="107" t="s">
        <v>110</v>
      </c>
      <c r="B11" s="800">
        <v>0.2</v>
      </c>
      <c r="C11" s="798">
        <f>'2-инвестиции'!C7</f>
        <v>42.38461538461539</v>
      </c>
      <c r="D11" s="836">
        <f>'2-инвестиции'!D7</f>
        <v>23.153846153846157</v>
      </c>
      <c r="E11" s="837">
        <f>'2-инвестиции'!E7+D11</f>
        <v>34.69230769230769</v>
      </c>
      <c r="F11" s="822">
        <f>E11</f>
        <v>34.69230769230769</v>
      </c>
      <c r="G11" s="822">
        <f>F11</f>
        <v>34.69230769230769</v>
      </c>
      <c r="H11" s="837">
        <f>'2-инвестиции'!H7+E11</f>
        <v>34.69230769230769</v>
      </c>
      <c r="I11" s="837">
        <f>'2-инвестиции'!I7+H11</f>
        <v>42.38461538461539</v>
      </c>
      <c r="J11" s="822">
        <f aca="true" t="shared" si="2" ref="J11:O11">I11</f>
        <v>42.38461538461539</v>
      </c>
      <c r="K11" s="822">
        <f t="shared" si="2"/>
        <v>42.38461538461539</v>
      </c>
      <c r="L11" s="822">
        <f t="shared" si="2"/>
        <v>42.38461538461539</v>
      </c>
      <c r="M11" s="822">
        <f t="shared" si="2"/>
        <v>42.38461538461539</v>
      </c>
      <c r="N11" s="822">
        <f t="shared" si="2"/>
        <v>42.38461538461539</v>
      </c>
      <c r="O11" s="823">
        <f t="shared" si="2"/>
        <v>42.38461538461539</v>
      </c>
      <c r="P11" s="798">
        <f>T11</f>
        <v>125.07692307692308</v>
      </c>
      <c r="Q11" s="797">
        <f>'2-инвестиции'!Q7+O11</f>
        <v>125.07692307692308</v>
      </c>
      <c r="R11" s="295">
        <f>'2-инвестиции'!R7+Q11</f>
        <v>125.07692307692308</v>
      </c>
      <c r="S11" s="295">
        <f>'2-инвестиции'!S7+R11</f>
        <v>125.07692307692308</v>
      </c>
      <c r="T11" s="319">
        <f>'2-инвестиции'!T7+S11</f>
        <v>125.07692307692308</v>
      </c>
      <c r="U11" s="792">
        <f>'2-инвестиции'!U7+P11</f>
        <v>175.0769230769231</v>
      </c>
      <c r="V11" s="792">
        <f>'2-инвестиции'!V7+U11</f>
        <v>245.0769230769231</v>
      </c>
      <c r="W11" s="792">
        <f>'2-инвестиции'!W7+V11</f>
        <v>345.0769230769231</v>
      </c>
    </row>
    <row r="12" spans="1:23" ht="16.5" thickBot="1">
      <c r="A12" s="108" t="s">
        <v>177</v>
      </c>
      <c r="B12" s="370">
        <v>0.2</v>
      </c>
      <c r="C12" s="806">
        <f>'2-инвестиции'!C35</f>
        <v>19.231</v>
      </c>
      <c r="D12" s="821">
        <f>'2-инвестиции'!D35</f>
        <v>5.5</v>
      </c>
      <c r="E12" s="822">
        <f>'2-инвестиции'!E35</f>
        <v>5.5</v>
      </c>
      <c r="F12" s="822">
        <f>'2-инвестиции'!F35</f>
        <v>3.231</v>
      </c>
      <c r="G12" s="822">
        <f>'2-инвестиции'!G35</f>
        <v>0</v>
      </c>
      <c r="H12" s="822">
        <f>'2-инвестиции'!H35</f>
        <v>0</v>
      </c>
      <c r="I12" s="837">
        <f>'2-инвестиции'!I35</f>
        <v>0</v>
      </c>
      <c r="J12" s="837">
        <f>'2-инвестиции'!J35+I12</f>
        <v>5</v>
      </c>
      <c r="K12" s="822">
        <f>'2-инвестиции'!K35+J12</f>
        <v>5</v>
      </c>
      <c r="L12" s="822">
        <f>'2-инвестиции'!L35+K12</f>
        <v>5</v>
      </c>
      <c r="M12" s="822">
        <f>'2-инвестиции'!M35+L12</f>
        <v>5</v>
      </c>
      <c r="N12" s="822">
        <f>'2-инвестиции'!N35+M12</f>
        <v>5</v>
      </c>
      <c r="O12" s="823">
        <f>'2-инвестиции'!O35+N12</f>
        <v>5</v>
      </c>
      <c r="P12" s="793">
        <f>'2-инвестиции'!P35+O12</f>
        <v>5</v>
      </c>
      <c r="Q12" s="318">
        <f>'2-инвестиции'!Q35+P12</f>
        <v>5</v>
      </c>
      <c r="R12" s="295">
        <f>'2-инвестиции'!R35+Q12</f>
        <v>5</v>
      </c>
      <c r="S12" s="295">
        <f>'2-инвестиции'!S35+R12</f>
        <v>5</v>
      </c>
      <c r="T12" s="319">
        <f>'2-инвестиции'!T35+S12</f>
        <v>5</v>
      </c>
      <c r="U12" s="793">
        <f>'2-инвестиции'!U35+T12</f>
        <v>5</v>
      </c>
      <c r="V12" s="793">
        <f>'2-инвестиции'!V35+U12</f>
        <v>5</v>
      </c>
      <c r="W12" s="793">
        <f>'2-инвестиции'!W35</f>
        <v>0</v>
      </c>
    </row>
    <row r="13" spans="1:23" ht="31.5">
      <c r="A13" s="106" t="s">
        <v>178</v>
      </c>
      <c r="B13" s="276"/>
      <c r="C13" s="803">
        <f>C17</f>
        <v>757.5</v>
      </c>
      <c r="D13" s="838">
        <f>D17</f>
        <v>757.5</v>
      </c>
      <c r="E13" s="839">
        <f aca="true" t="shared" si="3" ref="E13:O13">E17</f>
        <v>757.5</v>
      </c>
      <c r="F13" s="839">
        <f t="shared" si="3"/>
        <v>757.5</v>
      </c>
      <c r="G13" s="839">
        <f t="shared" si="3"/>
        <v>757.5</v>
      </c>
      <c r="H13" s="839">
        <f t="shared" si="3"/>
        <v>757.5</v>
      </c>
      <c r="I13" s="839">
        <f t="shared" si="3"/>
        <v>757.5</v>
      </c>
      <c r="J13" s="839">
        <f t="shared" si="3"/>
        <v>757.5</v>
      </c>
      <c r="K13" s="839">
        <f t="shared" si="3"/>
        <v>757.5</v>
      </c>
      <c r="L13" s="839">
        <f t="shared" si="3"/>
        <v>757.5</v>
      </c>
      <c r="M13" s="839">
        <f t="shared" si="3"/>
        <v>757.5</v>
      </c>
      <c r="N13" s="839">
        <f t="shared" si="3"/>
        <v>757.5</v>
      </c>
      <c r="O13" s="840">
        <f t="shared" si="3"/>
        <v>757.5</v>
      </c>
      <c r="P13" s="355">
        <f aca="true" t="shared" si="4" ref="P13:U13">P17</f>
        <v>757.5</v>
      </c>
      <c r="Q13" s="789">
        <f t="shared" si="4"/>
        <v>757.5</v>
      </c>
      <c r="R13" s="790">
        <f t="shared" si="4"/>
        <v>757.5</v>
      </c>
      <c r="S13" s="790">
        <f t="shared" si="4"/>
        <v>757.5</v>
      </c>
      <c r="T13" s="791">
        <f t="shared" si="4"/>
        <v>757.5</v>
      </c>
      <c r="U13" s="170">
        <f t="shared" si="4"/>
        <v>757.5</v>
      </c>
      <c r="V13" s="161">
        <f>V17</f>
        <v>757.5</v>
      </c>
      <c r="W13" s="161">
        <f>W17</f>
        <v>757.5</v>
      </c>
    </row>
    <row r="14" spans="1:23" ht="15.75">
      <c r="A14" s="106" t="s">
        <v>162</v>
      </c>
      <c r="B14" s="191"/>
      <c r="C14" s="355"/>
      <c r="D14" s="84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42"/>
      <c r="P14" s="355"/>
      <c r="Q14" s="357"/>
      <c r="R14" s="356"/>
      <c r="S14" s="356"/>
      <c r="T14" s="358"/>
      <c r="U14" s="170"/>
      <c r="V14" s="170"/>
      <c r="W14" s="170"/>
    </row>
    <row r="15" spans="1:23" ht="15.75">
      <c r="A15" s="107" t="s">
        <v>176</v>
      </c>
      <c r="B15" s="191"/>
      <c r="C15" s="149"/>
      <c r="D15" s="843"/>
      <c r="E15" s="844"/>
      <c r="F15" s="844"/>
      <c r="G15" s="844"/>
      <c r="H15" s="844"/>
      <c r="I15" s="844"/>
      <c r="J15" s="844"/>
      <c r="K15" s="844"/>
      <c r="L15" s="844"/>
      <c r="M15" s="822"/>
      <c r="N15" s="822"/>
      <c r="O15" s="845"/>
      <c r="P15" s="149"/>
      <c r="Q15" s="288"/>
      <c r="R15" s="295"/>
      <c r="S15" s="295"/>
      <c r="T15" s="299"/>
      <c r="U15" s="122"/>
      <c r="V15" s="122"/>
      <c r="W15" s="122"/>
    </row>
    <row r="16" spans="1:23" ht="15.75">
      <c r="A16" s="107" t="s">
        <v>110</v>
      </c>
      <c r="B16" s="191"/>
      <c r="C16" s="149"/>
      <c r="D16" s="846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45"/>
      <c r="P16" s="149"/>
      <c r="Q16" s="288"/>
      <c r="R16" s="295"/>
      <c r="S16" s="295"/>
      <c r="T16" s="299"/>
      <c r="U16" s="122"/>
      <c r="V16" s="122"/>
      <c r="W16" s="122"/>
    </row>
    <row r="17" spans="1:23" ht="32.25" thickBot="1">
      <c r="A17" s="107" t="s">
        <v>267</v>
      </c>
      <c r="B17" s="192">
        <v>0.2</v>
      </c>
      <c r="C17" s="304">
        <f>D17</f>
        <v>757.5</v>
      </c>
      <c r="D17" s="846">
        <f>'2-инвестиции'!C47*1.5</f>
        <v>757.5</v>
      </c>
      <c r="E17" s="822">
        <f>D17</f>
        <v>757.5</v>
      </c>
      <c r="F17" s="822">
        <f aca="true" t="shared" si="5" ref="F17:O17">E17</f>
        <v>757.5</v>
      </c>
      <c r="G17" s="822">
        <f t="shared" si="5"/>
        <v>757.5</v>
      </c>
      <c r="H17" s="822">
        <f t="shared" si="5"/>
        <v>757.5</v>
      </c>
      <c r="I17" s="822">
        <f t="shared" si="5"/>
        <v>757.5</v>
      </c>
      <c r="J17" s="822">
        <f t="shared" si="5"/>
        <v>757.5</v>
      </c>
      <c r="K17" s="822">
        <f t="shared" si="5"/>
        <v>757.5</v>
      </c>
      <c r="L17" s="822">
        <f t="shared" si="5"/>
        <v>757.5</v>
      </c>
      <c r="M17" s="822">
        <f t="shared" si="5"/>
        <v>757.5</v>
      </c>
      <c r="N17" s="822">
        <f t="shared" si="5"/>
        <v>757.5</v>
      </c>
      <c r="O17" s="845">
        <f t="shared" si="5"/>
        <v>757.5</v>
      </c>
      <c r="P17" s="304">
        <f aca="true" t="shared" si="6" ref="P17:U17">O17</f>
        <v>757.5</v>
      </c>
      <c r="Q17" s="288">
        <f t="shared" si="6"/>
        <v>757.5</v>
      </c>
      <c r="R17" s="295">
        <f t="shared" si="6"/>
        <v>757.5</v>
      </c>
      <c r="S17" s="295">
        <f t="shared" si="6"/>
        <v>757.5</v>
      </c>
      <c r="T17" s="299">
        <f t="shared" si="6"/>
        <v>757.5</v>
      </c>
      <c r="U17" s="114">
        <f t="shared" si="6"/>
        <v>757.5</v>
      </c>
      <c r="V17" s="114">
        <f>U17</f>
        <v>757.5</v>
      </c>
      <c r="W17" s="114">
        <f>V17</f>
        <v>757.5</v>
      </c>
    </row>
    <row r="18" spans="1:23" ht="19.5" customHeight="1" thickBot="1">
      <c r="A18" s="368" t="s">
        <v>332</v>
      </c>
      <c r="B18" s="192"/>
      <c r="C18" s="304">
        <f>SUM(D18:O18)</f>
        <v>159.88077307692308</v>
      </c>
      <c r="D18" s="847">
        <f>(D17+D12+D11)/5/12+D10/30/12</f>
        <v>13.102564102564102</v>
      </c>
      <c r="E18" s="822">
        <f aca="true" t="shared" si="7" ref="E18:O18">(E17+E12+E11)/5/12+E10/30/12</f>
        <v>13.294871794871796</v>
      </c>
      <c r="F18" s="822">
        <f t="shared" si="7"/>
        <v>13.25705512820513</v>
      </c>
      <c r="G18" s="822">
        <f t="shared" si="7"/>
        <v>13.203205128205129</v>
      </c>
      <c r="H18" s="822">
        <f t="shared" si="7"/>
        <v>13.203205128205129</v>
      </c>
      <c r="I18" s="822">
        <f t="shared" si="7"/>
        <v>13.331410256410257</v>
      </c>
      <c r="J18" s="822">
        <f t="shared" si="7"/>
        <v>13.414743589743589</v>
      </c>
      <c r="K18" s="822">
        <f t="shared" si="7"/>
        <v>13.414743589743589</v>
      </c>
      <c r="L18" s="822">
        <f t="shared" si="7"/>
        <v>13.414743589743589</v>
      </c>
      <c r="M18" s="822">
        <f t="shared" si="7"/>
        <v>13.414743589743589</v>
      </c>
      <c r="N18" s="822">
        <f t="shared" si="7"/>
        <v>13.414743589743589</v>
      </c>
      <c r="O18" s="848">
        <f t="shared" si="7"/>
        <v>13.414743589743589</v>
      </c>
      <c r="P18" s="135">
        <f>SUM(Q18:T18)</f>
        <v>177.64038461538462</v>
      </c>
      <c r="Q18" s="366">
        <f>((Q17+Q12+Q11)/5/12+Q10/30/12)*3</f>
        <v>44.378846153846155</v>
      </c>
      <c r="R18" s="295">
        <f>((R17+R12+R11)/5/12+R10/30/12)*3</f>
        <v>44.378846153846155</v>
      </c>
      <c r="S18" s="295">
        <f>((S17+S12+S11)/5/12+S10/30/12)*3</f>
        <v>44.378846153846155</v>
      </c>
      <c r="T18" s="367">
        <f>((T17+T12+T11)/5/12+T10/30/12)*3</f>
        <v>44.503846153846155</v>
      </c>
      <c r="U18" s="135">
        <f>((U17+U12+U11)/5/12+U10/30/12)*3*4</f>
        <v>189.01538461538462</v>
      </c>
      <c r="V18" s="114">
        <f>((V17+V12+V11)/5/12+V10/30/12)*3*4</f>
        <v>204.6820512820513</v>
      </c>
      <c r="W18" s="114">
        <f>((W17+W12+W11)/5/12+W10/30/12)*3*4</f>
        <v>226.0153846153846</v>
      </c>
    </row>
    <row r="19" spans="1:23" ht="33.75" customHeight="1" thickBot="1">
      <c r="A19" s="369" t="s">
        <v>333</v>
      </c>
      <c r="B19" s="192"/>
      <c r="C19" s="149">
        <f>O19</f>
        <v>159.88077307692308</v>
      </c>
      <c r="D19" s="824">
        <f>D18</f>
        <v>13.102564102564102</v>
      </c>
      <c r="E19" s="825">
        <f>D19+E18</f>
        <v>26.397435897435898</v>
      </c>
      <c r="F19" s="825">
        <f aca="true" t="shared" si="8" ref="F19:O19">E19+F18</f>
        <v>39.65449102564103</v>
      </c>
      <c r="G19" s="825">
        <f t="shared" si="8"/>
        <v>52.857696153846156</v>
      </c>
      <c r="H19" s="825">
        <f t="shared" si="8"/>
        <v>66.06090128205129</v>
      </c>
      <c r="I19" s="825">
        <f t="shared" si="8"/>
        <v>79.39231153846154</v>
      </c>
      <c r="J19" s="825">
        <f t="shared" si="8"/>
        <v>92.80705512820514</v>
      </c>
      <c r="K19" s="825">
        <f t="shared" si="8"/>
        <v>106.22179871794873</v>
      </c>
      <c r="L19" s="825">
        <f t="shared" si="8"/>
        <v>119.63654230769232</v>
      </c>
      <c r="M19" s="825">
        <f t="shared" si="8"/>
        <v>133.05128589743592</v>
      </c>
      <c r="N19" s="825">
        <f t="shared" si="8"/>
        <v>146.4660294871795</v>
      </c>
      <c r="O19" s="826">
        <f t="shared" si="8"/>
        <v>159.88077307692308</v>
      </c>
      <c r="P19" s="133">
        <f>T19</f>
        <v>337.52115769230767</v>
      </c>
      <c r="Q19" s="373">
        <f>O19+Q18</f>
        <v>204.25961923076923</v>
      </c>
      <c r="R19" s="295">
        <f>R18+Q19</f>
        <v>248.6384653846154</v>
      </c>
      <c r="S19" s="295">
        <f>S18+R19</f>
        <v>293.0173115384615</v>
      </c>
      <c r="T19" s="371">
        <f>T18+S19</f>
        <v>337.52115769230767</v>
      </c>
      <c r="U19" s="104">
        <f>T19+U18</f>
        <v>526.5365423076923</v>
      </c>
      <c r="V19" s="104">
        <f>U19+V18</f>
        <v>731.2185935897437</v>
      </c>
      <c r="W19" s="104">
        <f>V19+W18</f>
        <v>957.2339782051283</v>
      </c>
    </row>
    <row r="20" spans="1:23" ht="48" thickBot="1">
      <c r="A20" s="109" t="s">
        <v>179</v>
      </c>
      <c r="B20" s="370"/>
      <c r="C20" s="135">
        <f aca="true" t="shared" si="9" ref="C20:W20">C6-C19</f>
        <v>659.2348423076922</v>
      </c>
      <c r="D20" s="821">
        <f t="shared" si="9"/>
        <v>773.0512820512821</v>
      </c>
      <c r="E20" s="822">
        <f t="shared" si="9"/>
        <v>771.2948717948718</v>
      </c>
      <c r="F20" s="822">
        <f t="shared" si="9"/>
        <v>755.7688166666667</v>
      </c>
      <c r="G20" s="822">
        <f t="shared" si="9"/>
        <v>739.3346115384616</v>
      </c>
      <c r="H20" s="822">
        <f t="shared" si="9"/>
        <v>726.1314064102564</v>
      </c>
      <c r="I20" s="822">
        <f t="shared" si="9"/>
        <v>720.4923038461538</v>
      </c>
      <c r="J20" s="822">
        <f t="shared" si="9"/>
        <v>712.0775602564103</v>
      </c>
      <c r="K20" s="822">
        <f t="shared" si="9"/>
        <v>698.6628166666667</v>
      </c>
      <c r="L20" s="822">
        <f t="shared" si="9"/>
        <v>685.248073076923</v>
      </c>
      <c r="M20" s="822">
        <f t="shared" si="9"/>
        <v>671.8333294871794</v>
      </c>
      <c r="N20" s="822">
        <f t="shared" si="9"/>
        <v>658.4185858974358</v>
      </c>
      <c r="O20" s="823">
        <f t="shared" si="9"/>
        <v>645.0038423076923</v>
      </c>
      <c r="P20" s="135">
        <f t="shared" si="9"/>
        <v>565.0557653846154</v>
      </c>
      <c r="Q20" s="318">
        <f t="shared" si="9"/>
        <v>683.3173038461539</v>
      </c>
      <c r="R20" s="295">
        <f t="shared" si="9"/>
        <v>638.9384576923077</v>
      </c>
      <c r="S20" s="295">
        <f t="shared" si="9"/>
        <v>594.5596115384616</v>
      </c>
      <c r="T20" s="319">
        <f t="shared" si="9"/>
        <v>565.0557653846154</v>
      </c>
      <c r="U20" s="129">
        <f t="shared" si="9"/>
        <v>456.04038076923075</v>
      </c>
      <c r="V20" s="135">
        <f t="shared" si="9"/>
        <v>371.3583294871794</v>
      </c>
      <c r="W20" s="138">
        <f t="shared" si="9"/>
        <v>310.34294487179477</v>
      </c>
    </row>
    <row r="21" spans="1:23" ht="95.25" thickBot="1">
      <c r="A21" s="110" t="s">
        <v>180</v>
      </c>
      <c r="B21" s="192"/>
      <c r="C21" s="304"/>
      <c r="D21" s="313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5"/>
      <c r="P21" s="304"/>
      <c r="Q21" s="313"/>
      <c r="R21" s="314"/>
      <c r="S21" s="314"/>
      <c r="T21" s="315"/>
      <c r="U21" s="114"/>
      <c r="V21" s="114"/>
      <c r="W21" s="114"/>
    </row>
    <row r="22" spans="1:23" ht="15.75">
      <c r="A22" s="106" t="s">
        <v>181</v>
      </c>
      <c r="B22" s="1245"/>
      <c r="C22" s="1247">
        <f>SUM(C24:C26)</f>
        <v>0</v>
      </c>
      <c r="D22" s="1244">
        <f>SUM(D24:D26)</f>
        <v>0</v>
      </c>
      <c r="E22" s="295"/>
      <c r="F22" s="295"/>
      <c r="G22" s="295"/>
      <c r="H22" s="295"/>
      <c r="I22" s="295"/>
      <c r="J22" s="295"/>
      <c r="K22" s="295"/>
      <c r="L22" s="295"/>
      <c r="M22" s="1238"/>
      <c r="N22" s="1238"/>
      <c r="O22" s="1239"/>
      <c r="P22" s="1242">
        <f aca="true" t="shared" si="10" ref="P22:U22">SUM(P24:P26)</f>
        <v>0</v>
      </c>
      <c r="Q22" s="1244">
        <f t="shared" si="10"/>
        <v>0</v>
      </c>
      <c r="R22" s="1238">
        <f t="shared" si="10"/>
        <v>0</v>
      </c>
      <c r="S22" s="1238">
        <f t="shared" si="10"/>
        <v>0</v>
      </c>
      <c r="T22" s="1239">
        <f t="shared" si="10"/>
        <v>0</v>
      </c>
      <c r="U22" s="1240">
        <f t="shared" si="10"/>
        <v>0</v>
      </c>
      <c r="V22" s="1249">
        <f>SUM(V24:V26)</f>
        <v>0</v>
      </c>
      <c r="W22" s="1249">
        <f>SUM(W24:W26)</f>
        <v>0</v>
      </c>
    </row>
    <row r="23" spans="1:23" ht="15.75">
      <c r="A23" s="106" t="s">
        <v>149</v>
      </c>
      <c r="B23" s="1246"/>
      <c r="C23" s="1248"/>
      <c r="D23" s="1244"/>
      <c r="E23" s="295"/>
      <c r="F23" s="295"/>
      <c r="G23" s="295"/>
      <c r="H23" s="295"/>
      <c r="I23" s="295"/>
      <c r="J23" s="295"/>
      <c r="K23" s="295"/>
      <c r="L23" s="295"/>
      <c r="M23" s="1238"/>
      <c r="N23" s="1238"/>
      <c r="O23" s="1239"/>
      <c r="P23" s="1243"/>
      <c r="Q23" s="1244"/>
      <c r="R23" s="1238"/>
      <c r="S23" s="1238"/>
      <c r="T23" s="1239"/>
      <c r="U23" s="1241"/>
      <c r="V23" s="1250"/>
      <c r="W23" s="1250"/>
    </row>
    <row r="24" spans="1:23" ht="15.75">
      <c r="A24" s="107" t="s">
        <v>176</v>
      </c>
      <c r="B24" s="191"/>
      <c r="C24" s="149"/>
      <c r="D24" s="288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9"/>
      <c r="P24" s="149"/>
      <c r="Q24" s="288"/>
      <c r="R24" s="295"/>
      <c r="S24" s="295"/>
      <c r="T24" s="299"/>
      <c r="U24" s="122"/>
      <c r="V24" s="122"/>
      <c r="W24" s="122"/>
    </row>
    <row r="25" spans="1:23" ht="15.75">
      <c r="A25" s="107" t="s">
        <v>110</v>
      </c>
      <c r="B25" s="191"/>
      <c r="C25" s="149"/>
      <c r="D25" s="288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9"/>
      <c r="P25" s="149"/>
      <c r="Q25" s="288"/>
      <c r="R25" s="295"/>
      <c r="S25" s="295"/>
      <c r="T25" s="299"/>
      <c r="U25" s="122"/>
      <c r="V25" s="122"/>
      <c r="W25" s="122"/>
    </row>
    <row r="26" spans="1:23" ht="16.5" thickBot="1">
      <c r="A26" s="108" t="s">
        <v>177</v>
      </c>
      <c r="B26" s="192"/>
      <c r="C26" s="304">
        <f>D26</f>
        <v>0</v>
      </c>
      <c r="D26" s="288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9"/>
      <c r="P26" s="304">
        <f aca="true" t="shared" si="11" ref="P26:U26">O26</f>
        <v>0</v>
      </c>
      <c r="Q26" s="288">
        <f t="shared" si="11"/>
        <v>0</v>
      </c>
      <c r="R26" s="295">
        <f t="shared" si="11"/>
        <v>0</v>
      </c>
      <c r="S26" s="295">
        <f t="shared" si="11"/>
        <v>0</v>
      </c>
      <c r="T26" s="299">
        <f t="shared" si="11"/>
        <v>0</v>
      </c>
      <c r="U26" s="114">
        <f t="shared" si="11"/>
        <v>0</v>
      </c>
      <c r="V26" s="114">
        <f>U26</f>
        <v>0</v>
      </c>
      <c r="W26" s="114">
        <f>V26</f>
        <v>0</v>
      </c>
    </row>
    <row r="27" spans="1:23" ht="16.5" thickBot="1">
      <c r="A27" s="109" t="s">
        <v>182</v>
      </c>
      <c r="B27" s="192">
        <v>0.1</v>
      </c>
      <c r="C27" s="304">
        <f>SUM(D27:O27)</f>
        <v>0</v>
      </c>
      <c r="D27" s="288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9"/>
      <c r="P27" s="304">
        <f>SUM(Q27:T27)</f>
        <v>0</v>
      </c>
      <c r="Q27" s="288">
        <f>O27</f>
        <v>0</v>
      </c>
      <c r="R27" s="295">
        <f>Q27</f>
        <v>0</v>
      </c>
      <c r="S27" s="295">
        <f>Q27</f>
        <v>0</v>
      </c>
      <c r="T27" s="299">
        <f>R27</f>
        <v>0</v>
      </c>
      <c r="U27" s="114">
        <f>P27</f>
        <v>0</v>
      </c>
      <c r="V27" s="114">
        <f>Q27</f>
        <v>0</v>
      </c>
      <c r="W27" s="114">
        <f>R27</f>
        <v>0</v>
      </c>
    </row>
    <row r="28" spans="1:23" ht="32.25" thickBot="1">
      <c r="A28" s="109" t="s">
        <v>183</v>
      </c>
      <c r="B28" s="103"/>
      <c r="C28" s="304">
        <f>C26-C27</f>
        <v>0</v>
      </c>
      <c r="D28" s="288">
        <f>D22-D27</f>
        <v>0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9"/>
      <c r="P28" s="304">
        <f>T28</f>
        <v>0</v>
      </c>
      <c r="Q28" s="288">
        <f>O28-Q27</f>
        <v>0</v>
      </c>
      <c r="R28" s="295">
        <f>Q28-R27</f>
        <v>0</v>
      </c>
      <c r="S28" s="295">
        <f>R28-S27</f>
        <v>0</v>
      </c>
      <c r="T28" s="299">
        <f>S28-T27</f>
        <v>0</v>
      </c>
      <c r="U28" s="114">
        <f>P28-U27</f>
        <v>0</v>
      </c>
      <c r="V28" s="114">
        <f>Q28-V27</f>
        <v>0</v>
      </c>
      <c r="W28" s="114">
        <f>R28-W27</f>
        <v>0</v>
      </c>
    </row>
    <row r="29" spans="1:23" ht="48" thickBot="1">
      <c r="A29" s="110" t="s">
        <v>184</v>
      </c>
      <c r="B29" s="103"/>
      <c r="C29" s="354">
        <f>C18+C27</f>
        <v>159.88077307692308</v>
      </c>
      <c r="D29" s="357">
        <f aca="true" t="shared" si="12" ref="D29:U29">D18+D27</f>
        <v>13.102564102564102</v>
      </c>
      <c r="E29" s="356">
        <f t="shared" si="12"/>
        <v>13.294871794871796</v>
      </c>
      <c r="F29" s="356">
        <f t="shared" si="12"/>
        <v>13.25705512820513</v>
      </c>
      <c r="G29" s="356">
        <f t="shared" si="12"/>
        <v>13.203205128205129</v>
      </c>
      <c r="H29" s="356">
        <f t="shared" si="12"/>
        <v>13.203205128205129</v>
      </c>
      <c r="I29" s="356">
        <f t="shared" si="12"/>
        <v>13.331410256410257</v>
      </c>
      <c r="J29" s="356">
        <f t="shared" si="12"/>
        <v>13.414743589743589</v>
      </c>
      <c r="K29" s="356">
        <f t="shared" si="12"/>
        <v>13.414743589743589</v>
      </c>
      <c r="L29" s="356">
        <f t="shared" si="12"/>
        <v>13.414743589743589</v>
      </c>
      <c r="M29" s="356">
        <f t="shared" si="12"/>
        <v>13.414743589743589</v>
      </c>
      <c r="N29" s="356">
        <f t="shared" si="12"/>
        <v>13.414743589743589</v>
      </c>
      <c r="O29" s="358">
        <f t="shared" si="12"/>
        <v>13.414743589743589</v>
      </c>
      <c r="P29" s="354">
        <f t="shared" si="12"/>
        <v>177.64038461538462</v>
      </c>
      <c r="Q29" s="357">
        <f t="shared" si="12"/>
        <v>44.378846153846155</v>
      </c>
      <c r="R29" s="356">
        <f t="shared" si="12"/>
        <v>44.378846153846155</v>
      </c>
      <c r="S29" s="356">
        <f t="shared" si="12"/>
        <v>44.378846153846155</v>
      </c>
      <c r="T29" s="358">
        <f t="shared" si="12"/>
        <v>44.503846153846155</v>
      </c>
      <c r="U29" s="118">
        <f t="shared" si="12"/>
        <v>189.01538461538462</v>
      </c>
      <c r="V29" s="118">
        <f>V18+V27</f>
        <v>204.6820512820513</v>
      </c>
      <c r="W29" s="118">
        <f>W18+W27</f>
        <v>226.0153846153846</v>
      </c>
    </row>
    <row r="30" spans="1:23" ht="79.5" thickBot="1">
      <c r="A30" s="110" t="s">
        <v>185</v>
      </c>
      <c r="B30" s="103"/>
      <c r="C30" s="359">
        <f aca="true" t="shared" si="13" ref="C30:W30">C20+C28</f>
        <v>659.2348423076922</v>
      </c>
      <c r="D30" s="818">
        <f t="shared" si="13"/>
        <v>773.0512820512821</v>
      </c>
      <c r="E30" s="819">
        <f t="shared" si="13"/>
        <v>771.2948717948718</v>
      </c>
      <c r="F30" s="819">
        <f t="shared" si="13"/>
        <v>755.7688166666667</v>
      </c>
      <c r="G30" s="819">
        <f t="shared" si="13"/>
        <v>739.3346115384616</v>
      </c>
      <c r="H30" s="819">
        <f t="shared" si="13"/>
        <v>726.1314064102564</v>
      </c>
      <c r="I30" s="819">
        <f t="shared" si="13"/>
        <v>720.4923038461538</v>
      </c>
      <c r="J30" s="819">
        <f t="shared" si="13"/>
        <v>712.0775602564103</v>
      </c>
      <c r="K30" s="819">
        <f t="shared" si="13"/>
        <v>698.6628166666667</v>
      </c>
      <c r="L30" s="819">
        <f t="shared" si="13"/>
        <v>685.248073076923</v>
      </c>
      <c r="M30" s="819">
        <f t="shared" si="13"/>
        <v>671.8333294871794</v>
      </c>
      <c r="N30" s="819">
        <f t="shared" si="13"/>
        <v>658.4185858974358</v>
      </c>
      <c r="O30" s="820">
        <f t="shared" si="13"/>
        <v>645.0038423076923</v>
      </c>
      <c r="P30" s="354">
        <f t="shared" si="13"/>
        <v>565.0557653846154</v>
      </c>
      <c r="Q30" s="362">
        <f t="shared" si="13"/>
        <v>683.3173038461539</v>
      </c>
      <c r="R30" s="360">
        <f t="shared" si="13"/>
        <v>638.9384576923077</v>
      </c>
      <c r="S30" s="360">
        <f t="shared" si="13"/>
        <v>594.5596115384616</v>
      </c>
      <c r="T30" s="361">
        <f t="shared" si="13"/>
        <v>565.0557653846154</v>
      </c>
      <c r="U30" s="118">
        <f t="shared" si="13"/>
        <v>456.04038076923075</v>
      </c>
      <c r="V30" s="118">
        <f t="shared" si="13"/>
        <v>371.3583294871794</v>
      </c>
      <c r="W30" s="118">
        <f t="shared" si="13"/>
        <v>310.34294487179477</v>
      </c>
    </row>
  </sheetData>
  <mergeCells count="22">
    <mergeCell ref="V22:V23"/>
    <mergeCell ref="W22:W23"/>
    <mergeCell ref="A2:A4"/>
    <mergeCell ref="B2:B4"/>
    <mergeCell ref="C2:O2"/>
    <mergeCell ref="P2:T2"/>
    <mergeCell ref="C3:C4"/>
    <mergeCell ref="D3:O3"/>
    <mergeCell ref="P3:P4"/>
    <mergeCell ref="Q3:T3"/>
    <mergeCell ref="B22:B23"/>
    <mergeCell ref="C22:C23"/>
    <mergeCell ref="D22:D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</mergeCells>
  <printOptions/>
  <pageMargins left="0.19" right="0.16" top="0.66" bottom="0.21" header="0.5118110236220472" footer="0.196850393700787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60" zoomScaleNormal="60" workbookViewId="0" topLeftCell="A1">
      <pane xSplit="4125" topLeftCell="B1" activePane="topRight" state="split"/>
      <selection pane="topLeft" activeCell="A43" sqref="A43"/>
      <selection pane="topRight" activeCell="K37" sqref="K37"/>
    </sheetView>
  </sheetViews>
  <sheetFormatPr defaultColWidth="9.00390625" defaultRowHeight="12.75"/>
  <cols>
    <col min="1" max="1" width="63.25390625" style="31" customWidth="1"/>
    <col min="2" max="2" width="12.25390625" style="84" customWidth="1"/>
    <col min="3" max="3" width="10.00390625" style="31" customWidth="1"/>
    <col min="4" max="8" width="9.75390625" style="31" customWidth="1"/>
    <col min="9" max="9" width="10.375" style="31" customWidth="1"/>
    <col min="10" max="14" width="9.75390625" style="31" customWidth="1"/>
    <col min="15" max="15" width="12.75390625" style="84" customWidth="1"/>
    <col min="16" max="19" width="12.75390625" style="31" customWidth="1"/>
    <col min="20" max="20" width="14.75390625" style="84" customWidth="1"/>
    <col min="21" max="23" width="14.75390625" style="31" customWidth="1"/>
    <col min="24" max="16384" width="9.125" style="31" customWidth="1"/>
  </cols>
  <sheetData>
    <row r="1" spans="1:15" ht="20.25">
      <c r="A1" s="194" t="s">
        <v>187</v>
      </c>
      <c r="G1" s="84"/>
      <c r="L1" s="134" t="s">
        <v>368</v>
      </c>
      <c r="O1" s="91" t="s">
        <v>186</v>
      </c>
    </row>
    <row r="2" spans="1:12" ht="9.75" customHeight="1" thickBot="1">
      <c r="A2" s="56"/>
      <c r="G2" s="84"/>
      <c r="I2" s="53"/>
      <c r="L2" s="134"/>
    </row>
    <row r="3" spans="1:23" ht="27" customHeight="1" thickBot="1">
      <c r="A3" s="1167" t="s">
        <v>136</v>
      </c>
      <c r="B3" s="1103" t="s">
        <v>1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5"/>
      <c r="O3" s="1103" t="s">
        <v>44</v>
      </c>
      <c r="P3" s="1104"/>
      <c r="Q3" s="1104"/>
      <c r="R3" s="1104"/>
      <c r="S3" s="1105"/>
      <c r="T3" s="92" t="s">
        <v>46</v>
      </c>
      <c r="U3" s="92" t="s">
        <v>317</v>
      </c>
      <c r="V3" s="92" t="s">
        <v>318</v>
      </c>
      <c r="W3" s="139" t="s">
        <v>112</v>
      </c>
    </row>
    <row r="4" spans="1:23" ht="15.75" customHeight="1" thickBot="1">
      <c r="A4" s="1168"/>
      <c r="B4" s="1142" t="s">
        <v>112</v>
      </c>
      <c r="C4" s="1214" t="s">
        <v>292</v>
      </c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6"/>
      <c r="O4" s="1236" t="s">
        <v>112</v>
      </c>
      <c r="P4" s="1156" t="s">
        <v>113</v>
      </c>
      <c r="Q4" s="1157"/>
      <c r="R4" s="1157"/>
      <c r="S4" s="1158"/>
      <c r="T4" s="139" t="s">
        <v>158</v>
      </c>
      <c r="U4" s="139" t="s">
        <v>158</v>
      </c>
      <c r="V4" s="139" t="s">
        <v>158</v>
      </c>
      <c r="W4" s="377"/>
    </row>
    <row r="5" spans="1:23" ht="16.5" thickBot="1">
      <c r="A5" s="1152"/>
      <c r="B5" s="1143"/>
      <c r="C5" s="38" t="s">
        <v>114</v>
      </c>
      <c r="D5" s="38" t="s">
        <v>115</v>
      </c>
      <c r="E5" s="38" t="s">
        <v>116</v>
      </c>
      <c r="F5" s="38" t="s">
        <v>117</v>
      </c>
      <c r="G5" s="38" t="s">
        <v>284</v>
      </c>
      <c r="H5" s="38" t="s">
        <v>285</v>
      </c>
      <c r="I5" s="38" t="s">
        <v>286</v>
      </c>
      <c r="J5" s="166" t="s">
        <v>287</v>
      </c>
      <c r="K5" s="168" t="s">
        <v>288</v>
      </c>
      <c r="L5" s="38" t="s">
        <v>289</v>
      </c>
      <c r="M5" s="38" t="s">
        <v>290</v>
      </c>
      <c r="N5" s="38" t="s">
        <v>291</v>
      </c>
      <c r="O5" s="1237"/>
      <c r="P5" s="45" t="s">
        <v>114</v>
      </c>
      <c r="Q5" s="45" t="s">
        <v>115</v>
      </c>
      <c r="R5" s="45" t="s">
        <v>116</v>
      </c>
      <c r="S5" s="45" t="s">
        <v>117</v>
      </c>
      <c r="T5" s="140"/>
      <c r="U5" s="140"/>
      <c r="V5" s="140"/>
      <c r="W5" s="140"/>
    </row>
    <row r="6" spans="1:23" ht="16.5" thickBot="1">
      <c r="A6" s="46">
        <v>1</v>
      </c>
      <c r="B6" s="85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4">
        <v>11</v>
      </c>
      <c r="L6" s="164">
        <v>12</v>
      </c>
      <c r="M6" s="164">
        <v>13</v>
      </c>
      <c r="N6" s="164">
        <v>14</v>
      </c>
      <c r="O6" s="85">
        <v>15</v>
      </c>
      <c r="P6" s="378">
        <v>16</v>
      </c>
      <c r="Q6" s="809">
        <v>17</v>
      </c>
      <c r="R6" s="809">
        <v>18</v>
      </c>
      <c r="S6" s="809">
        <v>19</v>
      </c>
      <c r="T6" s="85">
        <v>20</v>
      </c>
      <c r="U6" s="85">
        <v>21</v>
      </c>
      <c r="V6" s="85">
        <v>22</v>
      </c>
      <c r="W6" s="378"/>
    </row>
    <row r="7" spans="1:23" ht="32.25" thickBot="1">
      <c r="A7" s="47" t="s">
        <v>188</v>
      </c>
      <c r="B7" s="135">
        <f>4!C20</f>
        <v>1384.6153846153848</v>
      </c>
      <c r="C7" s="808">
        <f>4!D20</f>
        <v>0</v>
      </c>
      <c r="D7" s="808">
        <f>4!E20</f>
        <v>0</v>
      </c>
      <c r="E7" s="808">
        <f>4!F20</f>
        <v>0</v>
      </c>
      <c r="F7" s="808">
        <f>4!G20</f>
        <v>0</v>
      </c>
      <c r="G7" s="808">
        <f>4!H20</f>
        <v>0</v>
      </c>
      <c r="H7" s="808">
        <f>4!I20</f>
        <v>0</v>
      </c>
      <c r="I7" s="304">
        <f>4!J20</f>
        <v>461.53846153846155</v>
      </c>
      <c r="J7" s="808">
        <f>4!K20</f>
        <v>0</v>
      </c>
      <c r="K7" s="808">
        <f>4!L20</f>
        <v>0</v>
      </c>
      <c r="L7" s="808">
        <f>4!M20</f>
        <v>0</v>
      </c>
      <c r="M7" s="808">
        <f>4!N20</f>
        <v>0</v>
      </c>
      <c r="N7" s="304">
        <f>4!O20</f>
        <v>923.0769230769231</v>
      </c>
      <c r="O7" s="135">
        <f>4!P20</f>
        <v>9055.384615384617</v>
      </c>
      <c r="P7" s="808">
        <f>4!Q20</f>
        <v>1509.2307692307695</v>
      </c>
      <c r="Q7" s="808">
        <f>4!R20</f>
        <v>2012.3076923076926</v>
      </c>
      <c r="R7" s="808">
        <f>4!S20</f>
        <v>2515.3846153846157</v>
      </c>
      <c r="S7" s="808">
        <f>4!T20</f>
        <v>3018.461538461539</v>
      </c>
      <c r="T7" s="129">
        <f>4!U20</f>
        <v>14805.553846153849</v>
      </c>
      <c r="U7" s="135">
        <f>4!V20</f>
        <v>24207.08053846154</v>
      </c>
      <c r="V7" s="138">
        <f>4!W20</f>
        <v>39578.57668038463</v>
      </c>
      <c r="W7" s="810">
        <f>V7+U7+T7+O7+B7</f>
        <v>89031.21106500002</v>
      </c>
    </row>
    <row r="8" spans="1:23" ht="36" customHeight="1" thickBot="1">
      <c r="A8" s="47" t="s">
        <v>189</v>
      </c>
      <c r="B8" s="304">
        <f>4!C21</f>
        <v>211.21251629726208</v>
      </c>
      <c r="C8" s="375"/>
      <c r="D8" s="372"/>
      <c r="E8" s="372"/>
      <c r="F8" s="372"/>
      <c r="G8" s="372"/>
      <c r="H8" s="372"/>
      <c r="I8" s="295">
        <f>4!J21</f>
        <v>70.40417209908736</v>
      </c>
      <c r="J8" s="295"/>
      <c r="K8" s="295"/>
      <c r="L8" s="295"/>
      <c r="M8" s="295"/>
      <c r="N8" s="299">
        <f>4!O21</f>
        <v>140.80834419817472</v>
      </c>
      <c r="O8" s="304">
        <f>4!P21</f>
        <v>1381.3298565840935</v>
      </c>
      <c r="P8" s="288">
        <f>4!Q21</f>
        <v>230.22164276401554</v>
      </c>
      <c r="Q8" s="295">
        <f>4!R21</f>
        <v>306.9621903520208</v>
      </c>
      <c r="R8" s="295">
        <f>4!S21</f>
        <v>383.70273794002605</v>
      </c>
      <c r="S8" s="299">
        <f>4!T21</f>
        <v>460.4432855280311</v>
      </c>
      <c r="T8" s="114">
        <f>4!U21</f>
        <v>2258.4743155149936</v>
      </c>
      <c r="U8" s="114">
        <f>4!V21</f>
        <v>3692.6055058670136</v>
      </c>
      <c r="V8" s="114">
        <f>4!W21</f>
        <v>6037.410002092569</v>
      </c>
      <c r="W8" s="490">
        <f>V8+U8+T8+O8+B8</f>
        <v>13581.032196355933</v>
      </c>
    </row>
    <row r="9" spans="1:23" ht="16.5" thickBot="1">
      <c r="A9" s="47" t="s">
        <v>190</v>
      </c>
      <c r="B9" s="304"/>
      <c r="C9" s="288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9"/>
      <c r="O9" s="304"/>
      <c r="P9" s="288"/>
      <c r="Q9" s="295"/>
      <c r="R9" s="295"/>
      <c r="S9" s="299"/>
      <c r="T9" s="114"/>
      <c r="U9" s="114"/>
      <c r="V9" s="114"/>
      <c r="W9" s="490">
        <f>V9+U9+T9+O9+B9</f>
        <v>0</v>
      </c>
    </row>
    <row r="10" spans="1:23" ht="48" thickBot="1">
      <c r="A10" s="47" t="s">
        <v>191</v>
      </c>
      <c r="B10" s="304">
        <f>B7-B8-B9</f>
        <v>1173.4028683181227</v>
      </c>
      <c r="C10" s="375"/>
      <c r="D10" s="372"/>
      <c r="E10" s="372"/>
      <c r="F10" s="372"/>
      <c r="G10" s="372"/>
      <c r="H10" s="372"/>
      <c r="I10" s="295">
        <f>I7-I8-I9</f>
        <v>391.1342894393742</v>
      </c>
      <c r="J10" s="295"/>
      <c r="K10" s="295"/>
      <c r="L10" s="295"/>
      <c r="M10" s="295"/>
      <c r="N10" s="299">
        <f aca="true" t="shared" si="0" ref="N10:V10">N7-N8-N9</f>
        <v>782.2685788787484</v>
      </c>
      <c r="O10" s="304">
        <f t="shared" si="0"/>
        <v>7674.054758800524</v>
      </c>
      <c r="P10" s="288">
        <f t="shared" si="0"/>
        <v>1279.009126466754</v>
      </c>
      <c r="Q10" s="295">
        <f t="shared" si="0"/>
        <v>1705.3455019556718</v>
      </c>
      <c r="R10" s="295">
        <f t="shared" si="0"/>
        <v>2131.6818774445896</v>
      </c>
      <c r="S10" s="299">
        <f t="shared" si="0"/>
        <v>2558.018252933508</v>
      </c>
      <c r="T10" s="114">
        <f t="shared" si="0"/>
        <v>12547.079530638855</v>
      </c>
      <c r="U10" s="114">
        <f t="shared" si="0"/>
        <v>20514.475032594528</v>
      </c>
      <c r="V10" s="114">
        <f t="shared" si="0"/>
        <v>33541.16667829206</v>
      </c>
      <c r="W10" s="490">
        <f>V10+U10+T10+O10+B10</f>
        <v>75450.1788686441</v>
      </c>
    </row>
    <row r="11" spans="1:23" ht="31.5">
      <c r="A11" s="48" t="s">
        <v>192</v>
      </c>
      <c r="B11" s="365">
        <f>'6-затраты'!B39</f>
        <v>877.2761666153845</v>
      </c>
      <c r="C11" s="288">
        <f>'6-затраты'!C39</f>
        <v>49.13061276923078</v>
      </c>
      <c r="D11" s="295">
        <f>'6-затраты'!D39</f>
        <v>83.721768</v>
      </c>
      <c r="E11" s="295">
        <f>'6-затраты'!E39</f>
        <v>55.396505961538466</v>
      </c>
      <c r="F11" s="295">
        <f>'6-затраты'!F39</f>
        <v>94.52510646153847</v>
      </c>
      <c r="G11" s="295">
        <f>'6-затраты'!G39</f>
        <v>73.96360646153846</v>
      </c>
      <c r="H11" s="295">
        <f>'6-затраты'!H39</f>
        <v>62.51951415384616</v>
      </c>
      <c r="I11" s="295">
        <f>'6-затраты'!I39</f>
        <v>66.06691415384616</v>
      </c>
      <c r="J11" s="295">
        <f>'6-затраты'!J39</f>
        <v>96.98253723076922</v>
      </c>
      <c r="K11" s="295">
        <f>'6-затраты'!K39</f>
        <v>73.74240035576923</v>
      </c>
      <c r="L11" s="295">
        <f>'6-затраты'!L39</f>
        <v>73.74240035576923</v>
      </c>
      <c r="M11" s="295">
        <f>'6-затраты'!M39</f>
        <v>73.74240035576923</v>
      </c>
      <c r="N11" s="299">
        <f>'6-затраты'!N39</f>
        <v>73.74240035576923</v>
      </c>
      <c r="O11" s="149">
        <f>'6-затраты'!O39</f>
        <v>2868.048825615385</v>
      </c>
      <c r="P11" s="288">
        <f>'6-затраты'!P39</f>
        <v>575.9267273461539</v>
      </c>
      <c r="Q11" s="295">
        <f>'6-затраты'!Q39</f>
        <v>628.6375595384616</v>
      </c>
      <c r="R11" s="295">
        <f>'6-затраты'!R39</f>
        <v>764.040699423077</v>
      </c>
      <c r="S11" s="299">
        <f>'6-затраты'!S39</f>
        <v>899.4438393076924</v>
      </c>
      <c r="T11" s="122">
        <f>'6-затраты'!T39</f>
        <v>4341.330930730769</v>
      </c>
      <c r="U11" s="104">
        <f>'6-затраты'!U39</f>
        <v>6269.759857634615</v>
      </c>
      <c r="V11" s="104">
        <f>'6-затраты'!V39</f>
        <v>9161.18305568269</v>
      </c>
      <c r="W11" s="490">
        <f>V11+U11+T11+O11+B11</f>
        <v>23517.598836278845</v>
      </c>
    </row>
    <row r="12" spans="1:23" ht="15.75">
      <c r="A12" s="48" t="s">
        <v>193</v>
      </c>
      <c r="B12" s="365"/>
      <c r="C12" s="288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9"/>
      <c r="O12" s="149"/>
      <c r="P12" s="288"/>
      <c r="Q12" s="295"/>
      <c r="R12" s="295"/>
      <c r="S12" s="299"/>
      <c r="T12" s="122"/>
      <c r="U12" s="104"/>
      <c r="V12" s="104"/>
      <c r="W12" s="490"/>
    </row>
    <row r="13" spans="1:23" ht="48" thickBot="1">
      <c r="A13" s="58" t="s">
        <v>269</v>
      </c>
      <c r="B13" s="365">
        <f>'6-затраты'!B45</f>
        <v>87.98127965319424</v>
      </c>
      <c r="C13" s="288">
        <f>'6-затраты'!C45</f>
        <v>5.245720591916556</v>
      </c>
      <c r="D13" s="295">
        <f>'6-затраты'!D45</f>
        <v>10.522337491525418</v>
      </c>
      <c r="E13" s="295">
        <f>'6-затраты'!E45</f>
        <v>6.066992434810949</v>
      </c>
      <c r="F13" s="295">
        <f>'6-затраты'!F45</f>
        <v>11.805117934810948</v>
      </c>
      <c r="G13" s="295">
        <f>'6-затраты'!G45</f>
        <v>8.668617934810946</v>
      </c>
      <c r="H13" s="295">
        <f>'6-затраты'!H45</f>
        <v>6.461620803129072</v>
      </c>
      <c r="I13" s="295">
        <f>'6-затраты'!I45</f>
        <v>7.002749616688394</v>
      </c>
      <c r="J13" s="295">
        <f>'6-затраты'!J45</f>
        <v>9.277709069100386</v>
      </c>
      <c r="K13" s="295">
        <f>'6-затраты'!K45</f>
        <v>5.732603444100388</v>
      </c>
      <c r="L13" s="295">
        <f>'6-затраты'!L45</f>
        <v>5.732603444100388</v>
      </c>
      <c r="M13" s="295">
        <f>'6-затраты'!M45</f>
        <v>5.732603444100388</v>
      </c>
      <c r="N13" s="299">
        <f>'6-затраты'!N45</f>
        <v>5.732603444100388</v>
      </c>
      <c r="O13" s="149">
        <f>'6-затраты'!O45</f>
        <v>395.80562268187725</v>
      </c>
      <c r="P13" s="288">
        <f>'6-затраты'!P45</f>
        <v>77.4298919159061</v>
      </c>
      <c r="Q13" s="295">
        <f>'6-затраты'!Q45</f>
        <v>85.47052733507167</v>
      </c>
      <c r="R13" s="295">
        <f>'6-затраты'!R45</f>
        <v>106.12524358865704</v>
      </c>
      <c r="S13" s="299">
        <f>'6-затраты'!S45</f>
        <v>126.77995984224245</v>
      </c>
      <c r="T13" s="122">
        <f>'6-затраты'!T45</f>
        <v>585.5034144661014</v>
      </c>
      <c r="U13" s="104">
        <f>'6-затраты'!U45</f>
        <v>875.2350760668184</v>
      </c>
      <c r="V13" s="104">
        <f>'6-затраты'!V45</f>
        <v>1311.8641688590278</v>
      </c>
      <c r="W13" s="490"/>
    </row>
    <row r="14" spans="1:23" ht="16.5" thickBot="1">
      <c r="A14" s="55" t="s">
        <v>194</v>
      </c>
      <c r="B14" s="294">
        <f>7!C29</f>
        <v>159.88077307692308</v>
      </c>
      <c r="C14" s="288">
        <f>7!D29</f>
        <v>13.102564102564102</v>
      </c>
      <c r="D14" s="295">
        <f>7!E29</f>
        <v>13.294871794871796</v>
      </c>
      <c r="E14" s="295">
        <f>7!F29</f>
        <v>13.25705512820513</v>
      </c>
      <c r="F14" s="295">
        <f>7!G29</f>
        <v>13.203205128205129</v>
      </c>
      <c r="G14" s="295">
        <f>7!H29</f>
        <v>13.203205128205129</v>
      </c>
      <c r="H14" s="295">
        <f>7!I29</f>
        <v>13.331410256410257</v>
      </c>
      <c r="I14" s="295">
        <f>7!J29</f>
        <v>13.414743589743589</v>
      </c>
      <c r="J14" s="295">
        <f>7!K29</f>
        <v>13.414743589743589</v>
      </c>
      <c r="K14" s="295">
        <f>7!L29</f>
        <v>13.414743589743589</v>
      </c>
      <c r="L14" s="295">
        <f>7!M29</f>
        <v>13.414743589743589</v>
      </c>
      <c r="M14" s="295">
        <f>7!N29</f>
        <v>13.414743589743589</v>
      </c>
      <c r="N14" s="299">
        <f>7!O29</f>
        <v>13.414743589743589</v>
      </c>
      <c r="O14" s="294">
        <f>7!P29</f>
        <v>177.64038461538462</v>
      </c>
      <c r="P14" s="288">
        <f>7!Q29</f>
        <v>44.378846153846155</v>
      </c>
      <c r="Q14" s="295">
        <f>7!R29</f>
        <v>44.378846153846155</v>
      </c>
      <c r="R14" s="295">
        <f>7!S29</f>
        <v>44.378846153846155</v>
      </c>
      <c r="S14" s="299">
        <f>7!T29</f>
        <v>44.503846153846155</v>
      </c>
      <c r="T14" s="138">
        <f>7!U29</f>
        <v>189.01538461538462</v>
      </c>
      <c r="U14" s="138">
        <f>7!V29</f>
        <v>204.6820512820513</v>
      </c>
      <c r="V14" s="138">
        <f>7!W29</f>
        <v>226.0153846153846</v>
      </c>
      <c r="W14" s="810">
        <f>V14+U14+T14+O14+B14</f>
        <v>957.2339782051282</v>
      </c>
    </row>
    <row r="15" spans="1:23" ht="15.75">
      <c r="A15" s="48" t="s">
        <v>195</v>
      </c>
      <c r="B15" s="1247"/>
      <c r="C15" s="1244"/>
      <c r="D15" s="295"/>
      <c r="E15" s="295"/>
      <c r="F15" s="295"/>
      <c r="G15" s="295"/>
      <c r="H15" s="295"/>
      <c r="I15" s="295"/>
      <c r="J15" s="295"/>
      <c r="K15" s="295"/>
      <c r="L15" s="1238"/>
      <c r="M15" s="1238"/>
      <c r="N15" s="1239"/>
      <c r="O15" s="1242"/>
      <c r="P15" s="1244"/>
      <c r="Q15" s="1238"/>
      <c r="R15" s="1238"/>
      <c r="S15" s="1239"/>
      <c r="T15" s="1240"/>
      <c r="U15" s="1249"/>
      <c r="V15" s="1249"/>
      <c r="W15" s="490"/>
    </row>
    <row r="16" spans="1:23" ht="15.75">
      <c r="A16" s="48" t="s">
        <v>149</v>
      </c>
      <c r="B16" s="1248"/>
      <c r="C16" s="1244"/>
      <c r="D16" s="295"/>
      <c r="E16" s="295"/>
      <c r="F16" s="295"/>
      <c r="G16" s="295"/>
      <c r="H16" s="295"/>
      <c r="I16" s="295"/>
      <c r="J16" s="295"/>
      <c r="K16" s="295"/>
      <c r="L16" s="1238"/>
      <c r="M16" s="1238"/>
      <c r="N16" s="1239"/>
      <c r="O16" s="1243"/>
      <c r="P16" s="1244"/>
      <c r="Q16" s="1238"/>
      <c r="R16" s="1238"/>
      <c r="S16" s="1239"/>
      <c r="T16" s="1241"/>
      <c r="U16" s="1250"/>
      <c r="V16" s="1250"/>
      <c r="W16" s="490"/>
    </row>
    <row r="17" spans="1:23" ht="16.5" thickBot="1">
      <c r="A17" s="47" t="s">
        <v>196</v>
      </c>
      <c r="B17" s="1263"/>
      <c r="C17" s="1244"/>
      <c r="D17" s="295"/>
      <c r="E17" s="295"/>
      <c r="F17" s="295"/>
      <c r="G17" s="295"/>
      <c r="H17" s="295"/>
      <c r="I17" s="295"/>
      <c r="J17" s="295"/>
      <c r="K17" s="295"/>
      <c r="L17" s="1238"/>
      <c r="M17" s="1238"/>
      <c r="N17" s="1239"/>
      <c r="O17" s="1264"/>
      <c r="P17" s="1244"/>
      <c r="Q17" s="1238"/>
      <c r="R17" s="1238"/>
      <c r="S17" s="1239"/>
      <c r="T17" s="1265"/>
      <c r="U17" s="1259"/>
      <c r="V17" s="1259"/>
      <c r="W17" s="490"/>
    </row>
    <row r="18" spans="1:23" ht="32.25" thickBot="1">
      <c r="A18" s="73" t="s">
        <v>268</v>
      </c>
      <c r="B18" s="364">
        <f>B10-B11-B14-B15</f>
        <v>136.2459286258152</v>
      </c>
      <c r="C18" s="288">
        <f aca="true" t="shared" si="1" ref="C18:T18">C10-C11-C14-C15</f>
        <v>-62.23317687179488</v>
      </c>
      <c r="D18" s="295">
        <f t="shared" si="1"/>
        <v>-97.0166397948718</v>
      </c>
      <c r="E18" s="295">
        <f t="shared" si="1"/>
        <v>-68.65356108974359</v>
      </c>
      <c r="F18" s="295">
        <f t="shared" si="1"/>
        <v>-107.7283115897436</v>
      </c>
      <c r="G18" s="295">
        <f t="shared" si="1"/>
        <v>-87.16681158974359</v>
      </c>
      <c r="H18" s="295">
        <f t="shared" si="1"/>
        <v>-75.85092441025641</v>
      </c>
      <c r="I18" s="295">
        <f t="shared" si="1"/>
        <v>311.65263169578446</v>
      </c>
      <c r="J18" s="295">
        <f t="shared" si="1"/>
        <v>-110.39728082051282</v>
      </c>
      <c r="K18" s="295">
        <f t="shared" si="1"/>
        <v>-87.15714394551283</v>
      </c>
      <c r="L18" s="295">
        <f t="shared" si="1"/>
        <v>-87.15714394551283</v>
      </c>
      <c r="M18" s="295">
        <f t="shared" si="1"/>
        <v>-87.15714394551283</v>
      </c>
      <c r="N18" s="299">
        <f t="shared" si="1"/>
        <v>695.1114349332355</v>
      </c>
      <c r="O18" s="303">
        <f t="shared" si="1"/>
        <v>4628.3655485697545</v>
      </c>
      <c r="P18" s="288">
        <f t="shared" si="1"/>
        <v>658.7035529667539</v>
      </c>
      <c r="Q18" s="295">
        <f t="shared" si="1"/>
        <v>1032.3290962633641</v>
      </c>
      <c r="R18" s="295">
        <f t="shared" si="1"/>
        <v>1323.2623318676665</v>
      </c>
      <c r="S18" s="299">
        <f t="shared" si="1"/>
        <v>1614.0705674719693</v>
      </c>
      <c r="T18" s="293">
        <f t="shared" si="1"/>
        <v>8016.733215292701</v>
      </c>
      <c r="U18" s="133">
        <f>U10-U11-U14-U15</f>
        <v>14040.033123677862</v>
      </c>
      <c r="V18" s="133">
        <f>V10-V11-V14-V15</f>
        <v>24153.968237993984</v>
      </c>
      <c r="W18" s="810">
        <f>V18+U18+T18+O18+B18</f>
        <v>50975.346054160116</v>
      </c>
    </row>
    <row r="19" spans="1:23" ht="18" customHeight="1">
      <c r="A19" s="48" t="s">
        <v>197</v>
      </c>
      <c r="B19" s="1247">
        <f>B21</f>
        <v>129.72990072307695</v>
      </c>
      <c r="C19" s="1244">
        <f>C21</f>
        <v>17.007128205128208</v>
      </c>
      <c r="D19" s="1238">
        <f aca="true" t="shared" si="2" ref="D19:I19">D21</f>
        <v>16.96848717948718</v>
      </c>
      <c r="E19" s="1238">
        <f t="shared" si="2"/>
        <v>16.62691396666667</v>
      </c>
      <c r="F19" s="1238">
        <f t="shared" si="2"/>
        <v>16.265361453846158</v>
      </c>
      <c r="G19" s="1238">
        <f t="shared" si="2"/>
        <v>15.974890941025643</v>
      </c>
      <c r="H19" s="1238">
        <f t="shared" si="2"/>
        <v>15.850830684615387</v>
      </c>
      <c r="I19" s="1238">
        <f t="shared" si="2"/>
        <v>15.665706325641027</v>
      </c>
      <c r="J19" s="1238">
        <f aca="true" t="shared" si="3" ref="J19:T19">J21</f>
        <v>15.370581966666668</v>
      </c>
      <c r="K19" s="1238">
        <f t="shared" si="3"/>
        <v>15.075457607692307</v>
      </c>
      <c r="L19" s="1238">
        <f t="shared" si="3"/>
        <v>14.780333248717948</v>
      </c>
      <c r="M19" s="1238">
        <f t="shared" si="3"/>
        <v>14.485208889743589</v>
      </c>
      <c r="N19" s="1239">
        <f t="shared" si="3"/>
        <v>14.190084530769232</v>
      </c>
      <c r="O19" s="1242">
        <f t="shared" si="3"/>
        <v>12.431226838461539</v>
      </c>
      <c r="P19" s="1244">
        <f t="shared" si="3"/>
        <v>15.032980684615387</v>
      </c>
      <c r="Q19" s="1238">
        <f t="shared" si="3"/>
        <v>14.056646069230771</v>
      </c>
      <c r="R19" s="1238">
        <f t="shared" si="3"/>
        <v>13.080311453846155</v>
      </c>
      <c r="S19" s="1239">
        <f t="shared" si="3"/>
        <v>12.431226838461539</v>
      </c>
      <c r="T19" s="1240">
        <f t="shared" si="3"/>
        <v>10.032888376923077</v>
      </c>
      <c r="U19" s="1249">
        <f>U21</f>
        <v>8.169883248717948</v>
      </c>
      <c r="V19" s="1249">
        <f>V21</f>
        <v>6.827544787179486</v>
      </c>
      <c r="W19" s="490"/>
    </row>
    <row r="20" spans="1:23" ht="15.75">
      <c r="A20" s="48" t="s">
        <v>149</v>
      </c>
      <c r="B20" s="1248"/>
      <c r="C20" s="1244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9"/>
      <c r="O20" s="1243"/>
      <c r="P20" s="1244"/>
      <c r="Q20" s="1238"/>
      <c r="R20" s="1238"/>
      <c r="S20" s="1239"/>
      <c r="T20" s="1241"/>
      <c r="U20" s="1250"/>
      <c r="V20" s="1250"/>
      <c r="W20" s="490"/>
    </row>
    <row r="21" spans="1:23" ht="15.75">
      <c r="A21" s="58" t="s">
        <v>198</v>
      </c>
      <c r="B21" s="374">
        <f>SUM(C21:J21)</f>
        <v>129.72990072307695</v>
      </c>
      <c r="C21" s="288">
        <f>7!D30*2.2%</f>
        <v>17.007128205128208</v>
      </c>
      <c r="D21" s="295">
        <f>7!E30*2.2%</f>
        <v>16.96848717948718</v>
      </c>
      <c r="E21" s="295">
        <f>7!F30*2.2%</f>
        <v>16.62691396666667</v>
      </c>
      <c r="F21" s="295">
        <f>7!G30*2.2%</f>
        <v>16.265361453846158</v>
      </c>
      <c r="G21" s="295">
        <f>7!H30*2.2%</f>
        <v>15.974890941025643</v>
      </c>
      <c r="H21" s="295">
        <f>7!I30*2.2%</f>
        <v>15.850830684615387</v>
      </c>
      <c r="I21" s="295">
        <f>7!J30*2.2%</f>
        <v>15.665706325641027</v>
      </c>
      <c r="J21" s="295">
        <f>7!K30*2.2%</f>
        <v>15.370581966666668</v>
      </c>
      <c r="K21" s="295">
        <f>7!L30*2.2%</f>
        <v>15.075457607692307</v>
      </c>
      <c r="L21" s="295">
        <f>7!M30*2.2%</f>
        <v>14.780333248717948</v>
      </c>
      <c r="M21" s="295">
        <f>7!N30*2.2%</f>
        <v>14.485208889743589</v>
      </c>
      <c r="N21" s="299">
        <f>7!O30*2.2%</f>
        <v>14.190084530769232</v>
      </c>
      <c r="O21" s="149">
        <f>7!P30*2.2%</f>
        <v>12.431226838461539</v>
      </c>
      <c r="P21" s="288">
        <f>7!Q30*2.2%</f>
        <v>15.032980684615387</v>
      </c>
      <c r="Q21" s="295">
        <f>7!R30*2.2%</f>
        <v>14.056646069230771</v>
      </c>
      <c r="R21" s="295">
        <f>7!S30*2.2%</f>
        <v>13.080311453846155</v>
      </c>
      <c r="S21" s="299">
        <f>7!T30*2.2%</f>
        <v>12.431226838461539</v>
      </c>
      <c r="T21" s="122">
        <f>7!U30*2.2%</f>
        <v>10.032888376923077</v>
      </c>
      <c r="U21" s="122">
        <f>7!V30*2.2%</f>
        <v>8.169883248717948</v>
      </c>
      <c r="V21" s="122">
        <f>7!W30*2.2%</f>
        <v>6.827544787179486</v>
      </c>
      <c r="W21" s="490"/>
    </row>
    <row r="22" spans="1:23" ht="16.5" thickBot="1">
      <c r="A22" s="59" t="s">
        <v>199</v>
      </c>
      <c r="B22" s="304"/>
      <c r="C22" s="288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9"/>
      <c r="O22" s="304"/>
      <c r="P22" s="288"/>
      <c r="Q22" s="295"/>
      <c r="R22" s="295"/>
      <c r="S22" s="299"/>
      <c r="T22" s="114"/>
      <c r="U22" s="114"/>
      <c r="V22" s="114"/>
      <c r="W22" s="490"/>
    </row>
    <row r="23" spans="1:23" ht="18" customHeight="1" thickBot="1">
      <c r="A23" s="47" t="s">
        <v>200</v>
      </c>
      <c r="B23" s="304">
        <f>SUM(C23:N23)</f>
        <v>0</v>
      </c>
      <c r="C23" s="288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9"/>
      <c r="O23" s="304"/>
      <c r="P23" s="288"/>
      <c r="Q23" s="295"/>
      <c r="R23" s="295"/>
      <c r="S23" s="299"/>
      <c r="T23" s="114"/>
      <c r="U23" s="114"/>
      <c r="V23" s="114"/>
      <c r="W23" s="490"/>
    </row>
    <row r="24" spans="1:23" ht="15.75">
      <c r="A24" s="48" t="s">
        <v>201</v>
      </c>
      <c r="B24" s="1247">
        <f aca="true" t="shared" si="4" ref="B24:V24">B18-B19-B23</f>
        <v>6.516027902738244</v>
      </c>
      <c r="C24" s="1244">
        <f t="shared" si="4"/>
        <v>-79.2403050769231</v>
      </c>
      <c r="D24" s="1238">
        <f t="shared" si="4"/>
        <v>-113.98512697435898</v>
      </c>
      <c r="E24" s="1238">
        <f t="shared" si="4"/>
        <v>-85.28047505641027</v>
      </c>
      <c r="F24" s="1238">
        <f t="shared" si="4"/>
        <v>-123.99367304358975</v>
      </c>
      <c r="G24" s="1238">
        <f t="shared" si="4"/>
        <v>-103.14170253076924</v>
      </c>
      <c r="H24" s="1238">
        <f t="shared" si="4"/>
        <v>-91.7017550948718</v>
      </c>
      <c r="I24" s="1238">
        <f t="shared" si="4"/>
        <v>295.9869253701434</v>
      </c>
      <c r="J24" s="1238">
        <f t="shared" si="4"/>
        <v>-125.76786278717948</v>
      </c>
      <c r="K24" s="1238">
        <f t="shared" si="4"/>
        <v>-102.23260155320514</v>
      </c>
      <c r="L24" s="1238">
        <f t="shared" si="4"/>
        <v>-101.93747719423078</v>
      </c>
      <c r="M24" s="1238">
        <f t="shared" si="4"/>
        <v>-101.64235283525642</v>
      </c>
      <c r="N24" s="1239">
        <f t="shared" si="4"/>
        <v>680.9213504024663</v>
      </c>
      <c r="O24" s="1242">
        <f t="shared" si="4"/>
        <v>4615.934321731293</v>
      </c>
      <c r="P24" s="1244">
        <f t="shared" si="4"/>
        <v>643.6705722821386</v>
      </c>
      <c r="Q24" s="1238">
        <f t="shared" si="4"/>
        <v>1018.2724501941334</v>
      </c>
      <c r="R24" s="1238">
        <f t="shared" si="4"/>
        <v>1310.1820204138203</v>
      </c>
      <c r="S24" s="1239">
        <f t="shared" si="4"/>
        <v>1601.6393406335078</v>
      </c>
      <c r="T24" s="1240">
        <f t="shared" si="4"/>
        <v>8006.700326915778</v>
      </c>
      <c r="U24" s="1249">
        <f t="shared" si="4"/>
        <v>14031.863240429144</v>
      </c>
      <c r="V24" s="1249">
        <f t="shared" si="4"/>
        <v>24147.140693206806</v>
      </c>
      <c r="W24" s="490">
        <f>V24+U24+T24+O24+B24</f>
        <v>50808.15461018576</v>
      </c>
    </row>
    <row r="25" spans="1:23" ht="16.5" thickBot="1">
      <c r="A25" s="47" t="s">
        <v>202</v>
      </c>
      <c r="B25" s="1263"/>
      <c r="C25" s="1244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9"/>
      <c r="O25" s="1264"/>
      <c r="P25" s="1244"/>
      <c r="Q25" s="1238"/>
      <c r="R25" s="1238"/>
      <c r="S25" s="1239"/>
      <c r="T25" s="1265"/>
      <c r="U25" s="1259"/>
      <c r="V25" s="1259"/>
      <c r="W25" s="490"/>
    </row>
    <row r="26" spans="1:23" ht="16.5" thickBot="1">
      <c r="A26" s="47" t="s">
        <v>203</v>
      </c>
      <c r="B26" s="304">
        <f aca="true" t="shared" si="5" ref="B26:T26">0.24*B24</f>
        <v>1.5638466966571787</v>
      </c>
      <c r="C26" s="288">
        <f t="shared" si="5"/>
        <v>-19.017673218461542</v>
      </c>
      <c r="D26" s="295">
        <f t="shared" si="5"/>
        <v>-27.356430473846153</v>
      </c>
      <c r="E26" s="295">
        <f t="shared" si="5"/>
        <v>-20.467314013538463</v>
      </c>
      <c r="F26" s="295">
        <f t="shared" si="5"/>
        <v>-29.758481530461538</v>
      </c>
      <c r="G26" s="295">
        <f t="shared" si="5"/>
        <v>-24.754008607384616</v>
      </c>
      <c r="H26" s="295">
        <f t="shared" si="5"/>
        <v>-22.008421222769233</v>
      </c>
      <c r="I26" s="295">
        <f t="shared" si="5"/>
        <v>71.03686208883441</v>
      </c>
      <c r="J26" s="295">
        <f t="shared" si="5"/>
        <v>-30.184287068923073</v>
      </c>
      <c r="K26" s="295">
        <f t="shared" si="5"/>
        <v>-24.535824372769234</v>
      </c>
      <c r="L26" s="295">
        <f t="shared" si="5"/>
        <v>-24.464994526615385</v>
      </c>
      <c r="M26" s="295">
        <f t="shared" si="5"/>
        <v>-24.39416468046154</v>
      </c>
      <c r="N26" s="299">
        <f t="shared" si="5"/>
        <v>163.4211240965919</v>
      </c>
      <c r="O26" s="304">
        <f t="shared" si="5"/>
        <v>1107.8242372155103</v>
      </c>
      <c r="P26" s="288">
        <f t="shared" si="5"/>
        <v>154.48093734771325</v>
      </c>
      <c r="Q26" s="295">
        <f t="shared" si="5"/>
        <v>244.385388046592</v>
      </c>
      <c r="R26" s="295">
        <f t="shared" si="5"/>
        <v>314.44368489931685</v>
      </c>
      <c r="S26" s="299">
        <f t="shared" si="5"/>
        <v>384.39344175204184</v>
      </c>
      <c r="T26" s="114">
        <f t="shared" si="5"/>
        <v>1921.6080784597866</v>
      </c>
      <c r="U26" s="114">
        <f>0.24*U24</f>
        <v>3367.647177702994</v>
      </c>
      <c r="V26" s="114">
        <f>0.24*V24</f>
        <v>5795.313766369633</v>
      </c>
      <c r="W26" s="810">
        <f>V26+U26+T26+O26+B26</f>
        <v>12193.957106444583</v>
      </c>
    </row>
    <row r="27" spans="1:23" s="84" customFormat="1" ht="15.75">
      <c r="A27" s="49" t="s">
        <v>204</v>
      </c>
      <c r="B27" s="1266">
        <f aca="true" t="shared" si="6" ref="B27:V27">B18-B19-B26</f>
        <v>4.9521812060810655</v>
      </c>
      <c r="C27" s="1244">
        <f t="shared" si="6"/>
        <v>-60.222631858461554</v>
      </c>
      <c r="D27" s="1238">
        <f t="shared" si="6"/>
        <v>-86.62869650051283</v>
      </c>
      <c r="E27" s="1238">
        <f t="shared" si="6"/>
        <v>-64.8131610428718</v>
      </c>
      <c r="F27" s="1238">
        <f t="shared" si="6"/>
        <v>-94.23519151312821</v>
      </c>
      <c r="G27" s="1238">
        <f t="shared" si="6"/>
        <v>-78.38769392338462</v>
      </c>
      <c r="H27" s="1238">
        <f t="shared" si="6"/>
        <v>-69.69333387210257</v>
      </c>
      <c r="I27" s="1238">
        <f t="shared" si="6"/>
        <v>224.95006328130899</v>
      </c>
      <c r="J27" s="1238">
        <f t="shared" si="6"/>
        <v>-95.58357571825641</v>
      </c>
      <c r="K27" s="1238">
        <f t="shared" si="6"/>
        <v>-77.6967771804359</v>
      </c>
      <c r="L27" s="1238">
        <f t="shared" si="6"/>
        <v>-77.4724826676154</v>
      </c>
      <c r="M27" s="1238">
        <f t="shared" si="6"/>
        <v>-77.24818815479487</v>
      </c>
      <c r="N27" s="1239">
        <f t="shared" si="6"/>
        <v>517.5002263058743</v>
      </c>
      <c r="O27" s="1270">
        <f t="shared" si="6"/>
        <v>3508.1100845157825</v>
      </c>
      <c r="P27" s="1244">
        <f t="shared" si="6"/>
        <v>489.18963493442527</v>
      </c>
      <c r="Q27" s="1238">
        <f t="shared" si="6"/>
        <v>773.8870621475414</v>
      </c>
      <c r="R27" s="1238">
        <f t="shared" si="6"/>
        <v>995.7383355145034</v>
      </c>
      <c r="S27" s="1239">
        <f t="shared" si="6"/>
        <v>1217.245898881466</v>
      </c>
      <c r="T27" s="1268">
        <f t="shared" si="6"/>
        <v>6085.092248455991</v>
      </c>
      <c r="U27" s="1272">
        <f t="shared" si="6"/>
        <v>10664.21606272615</v>
      </c>
      <c r="V27" s="1272">
        <f t="shared" si="6"/>
        <v>18351.826926837173</v>
      </c>
      <c r="W27" s="396">
        <f>V27+U27+T27+O27+B27</f>
        <v>38614.197503741176</v>
      </c>
    </row>
    <row r="28" spans="1:23" ht="16.5" thickBot="1">
      <c r="A28" s="47" t="s">
        <v>205</v>
      </c>
      <c r="B28" s="1267"/>
      <c r="C28" s="1244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9"/>
      <c r="O28" s="1271"/>
      <c r="P28" s="1244"/>
      <c r="Q28" s="1238"/>
      <c r="R28" s="1238"/>
      <c r="S28" s="1239"/>
      <c r="T28" s="1269"/>
      <c r="U28" s="1273"/>
      <c r="V28" s="1273"/>
      <c r="W28" s="110"/>
    </row>
    <row r="29" spans="1:23" ht="32.25" thickBot="1">
      <c r="A29" s="47" t="s">
        <v>206</v>
      </c>
      <c r="B29" s="304">
        <f aca="true" t="shared" si="7" ref="B29:V29">B8+B9+B15+B19+B26-B13</f>
        <v>254.52498406380192</v>
      </c>
      <c r="C29" s="300">
        <f t="shared" si="7"/>
        <v>-7.256265605249891</v>
      </c>
      <c r="D29" s="301">
        <f t="shared" si="7"/>
        <v>-20.91028078588439</v>
      </c>
      <c r="E29" s="301">
        <f t="shared" si="7"/>
        <v>-9.907392481682741</v>
      </c>
      <c r="F29" s="301">
        <f t="shared" si="7"/>
        <v>-25.298238011426328</v>
      </c>
      <c r="G29" s="301">
        <f t="shared" si="7"/>
        <v>-17.447735601169917</v>
      </c>
      <c r="H29" s="301">
        <f t="shared" si="7"/>
        <v>-12.619211341282917</v>
      </c>
      <c r="I29" s="301">
        <f t="shared" si="7"/>
        <v>150.1039908968744</v>
      </c>
      <c r="J29" s="301">
        <f t="shared" si="7"/>
        <v>-24.09141417135679</v>
      </c>
      <c r="K29" s="301">
        <f t="shared" si="7"/>
        <v>-15.192970209177314</v>
      </c>
      <c r="L29" s="301">
        <f t="shared" si="7"/>
        <v>-15.417264721997824</v>
      </c>
      <c r="M29" s="301">
        <f t="shared" si="7"/>
        <v>-15.641559234818338</v>
      </c>
      <c r="N29" s="302">
        <f t="shared" si="7"/>
        <v>312.6869493814355</v>
      </c>
      <c r="O29" s="304">
        <f t="shared" si="7"/>
        <v>2105.779697956188</v>
      </c>
      <c r="P29" s="300">
        <f t="shared" si="7"/>
        <v>322.30566888043813</v>
      </c>
      <c r="Q29" s="301">
        <f t="shared" si="7"/>
        <v>479.93369713277195</v>
      </c>
      <c r="R29" s="301">
        <f t="shared" si="7"/>
        <v>605.1014907045321</v>
      </c>
      <c r="S29" s="302">
        <f t="shared" si="7"/>
        <v>730.487994276292</v>
      </c>
      <c r="T29" s="114">
        <f t="shared" si="7"/>
        <v>3604.611867885602</v>
      </c>
      <c r="U29" s="114">
        <f t="shared" si="7"/>
        <v>6193.187490751907</v>
      </c>
      <c r="V29" s="114">
        <f t="shared" si="7"/>
        <v>10527.687144390355</v>
      </c>
      <c r="W29" s="135">
        <f>V29+U29+T29+O29+B29</f>
        <v>22685.791185047852</v>
      </c>
    </row>
    <row r="30" spans="1:20" ht="13.5" customHeight="1" thickBot="1">
      <c r="A30" s="148"/>
      <c r="B30" s="14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84" t="s">
        <v>321</v>
      </c>
      <c r="O30" s="149"/>
      <c r="P30" s="120"/>
      <c r="Q30" s="120"/>
      <c r="R30" s="120"/>
      <c r="S30" s="120"/>
      <c r="T30" s="149"/>
    </row>
    <row r="31" spans="1:10" ht="13.5" thickBot="1">
      <c r="A31" s="281"/>
      <c r="B31" s="386" t="s">
        <v>1</v>
      </c>
      <c r="C31" s="380" t="s">
        <v>44</v>
      </c>
      <c r="D31" s="381" t="s">
        <v>46</v>
      </c>
      <c r="E31" s="381" t="s">
        <v>317</v>
      </c>
      <c r="F31" s="382" t="s">
        <v>318</v>
      </c>
      <c r="G31" s="379" t="s">
        <v>2</v>
      </c>
      <c r="J31" s="84"/>
    </row>
    <row r="32" spans="1:10" ht="12.75">
      <c r="A32" s="281" t="s">
        <v>334</v>
      </c>
      <c r="B32" s="388">
        <f>'2-инвестиции'!C46</f>
        <v>504.5550279615385</v>
      </c>
      <c r="C32" s="43">
        <f>'2-инвестиции'!P46</f>
        <v>97.6923076923077</v>
      </c>
      <c r="D32" s="43">
        <f>'2-инвестиции'!U46</f>
        <v>80</v>
      </c>
      <c r="E32" s="389">
        <f>'2-инвестиции'!V46</f>
        <v>120</v>
      </c>
      <c r="F32" s="390">
        <f>'2-инвестиции'!W46</f>
        <v>170</v>
      </c>
      <c r="G32" s="383">
        <f>SUM(B32:F32)</f>
        <v>972.2473356538462</v>
      </c>
      <c r="J32" s="84"/>
    </row>
    <row r="33" spans="1:20" ht="12.75">
      <c r="A33" s="281" t="s">
        <v>274</v>
      </c>
      <c r="B33" s="391">
        <f>B27/B7</f>
        <v>0.0035765753155029916</v>
      </c>
      <c r="C33" s="150">
        <f>O27/O7</f>
        <v>0.3874059726359596</v>
      </c>
      <c r="D33" s="150">
        <f>T27/T7</f>
        <v>0.4110006495999311</v>
      </c>
      <c r="E33" s="150">
        <f>U27/U7</f>
        <v>0.4405411898300688</v>
      </c>
      <c r="F33" s="392">
        <f>V27/V7</f>
        <v>0.46368082094100277</v>
      </c>
      <c r="G33" s="384">
        <f>W27/W7</f>
        <v>0.4337152897487789</v>
      </c>
      <c r="O33" s="31"/>
      <c r="T33" s="31"/>
    </row>
    <row r="34" spans="1:20" ht="12.75">
      <c r="A34" s="281" t="s">
        <v>275</v>
      </c>
      <c r="B34" s="391">
        <f>B18/B11</f>
        <v>0.15530563100952013</v>
      </c>
      <c r="C34" s="150">
        <f>O18/O11</f>
        <v>1.613768045799104</v>
      </c>
      <c r="D34" s="150">
        <f>T18/T11</f>
        <v>1.846607260125009</v>
      </c>
      <c r="E34" s="150">
        <f>U18/U11</f>
        <v>2.2393254992982663</v>
      </c>
      <c r="F34" s="392">
        <f>V18/V11</f>
        <v>2.6365555727009795</v>
      </c>
      <c r="G34" s="384">
        <f>W18/W11</f>
        <v>2.1675404197950794</v>
      </c>
      <c r="O34" s="31"/>
      <c r="T34" s="31"/>
    </row>
    <row r="35" spans="1:20" ht="13.5" thickBot="1">
      <c r="A35" s="281" t="s">
        <v>276</v>
      </c>
      <c r="B35" s="393">
        <f>B27/B32</f>
        <v>0.009814947689825743</v>
      </c>
      <c r="C35" s="394">
        <f>O27/C32</f>
        <v>35.909788266696985</v>
      </c>
      <c r="D35" s="394">
        <f>T27/D32</f>
        <v>76.06365310569988</v>
      </c>
      <c r="E35" s="394">
        <f>T27/E32</f>
        <v>50.709102070466585</v>
      </c>
      <c r="F35" s="395">
        <f>U27/F32</f>
        <v>62.73068272191853</v>
      </c>
      <c r="G35" s="385">
        <f>V27/G32</f>
        <v>18.875677262201375</v>
      </c>
      <c r="H35" s="444">
        <f>SUM(B35:F35)/5</f>
        <v>45.08460822249437</v>
      </c>
      <c r="I35" s="31" t="s">
        <v>348</v>
      </c>
      <c r="O35" s="31"/>
      <c r="T35" s="31"/>
    </row>
    <row r="36" spans="1:2" ht="12.75">
      <c r="A36" s="36" t="s">
        <v>293</v>
      </c>
      <c r="B36" s="387">
        <f>B18/(9!B45+9!B39)</f>
        <v>0.2345024589084599</v>
      </c>
    </row>
    <row r="38" spans="2:6" ht="12.75">
      <c r="B38" s="84" t="s">
        <v>1</v>
      </c>
      <c r="C38" s="84" t="s">
        <v>44</v>
      </c>
      <c r="D38" s="84" t="s">
        <v>46</v>
      </c>
      <c r="E38" s="84" t="s">
        <v>317</v>
      </c>
      <c r="F38" s="84" t="s">
        <v>318</v>
      </c>
    </row>
    <row r="39" spans="1:6" ht="12.75">
      <c r="A39" s="442" t="s">
        <v>342</v>
      </c>
      <c r="B39" s="849">
        <f>B7</f>
        <v>1384.6153846153848</v>
      </c>
      <c r="C39" s="849">
        <f>O7</f>
        <v>9055.384615384617</v>
      </c>
      <c r="D39" s="849">
        <f>T7</f>
        <v>14805.553846153849</v>
      </c>
      <c r="E39" s="849">
        <f>U7</f>
        <v>24207.08053846154</v>
      </c>
      <c r="F39" s="849">
        <f>V7</f>
        <v>39578.57668038463</v>
      </c>
    </row>
    <row r="40" spans="1:6" ht="12.75">
      <c r="A40" s="442" t="s">
        <v>343</v>
      </c>
      <c r="B40" s="849">
        <f>B27</f>
        <v>4.9521812060810655</v>
      </c>
      <c r="C40" s="849">
        <f>O27</f>
        <v>3508.1100845157825</v>
      </c>
      <c r="D40" s="849">
        <f>T27</f>
        <v>6085.092248455991</v>
      </c>
      <c r="E40" s="849">
        <f>U27</f>
        <v>10664.21606272615</v>
      </c>
      <c r="F40" s="849">
        <f>V27</f>
        <v>18351.826926837173</v>
      </c>
    </row>
    <row r="41" spans="3:6" ht="12.75">
      <c r="C41" s="94"/>
      <c r="D41" s="94"/>
      <c r="E41" s="94"/>
      <c r="F41" s="94"/>
    </row>
    <row r="42" spans="1:6" ht="12.75">
      <c r="A42" s="442" t="s">
        <v>344</v>
      </c>
      <c r="B42" s="443">
        <f aca="true" t="shared" si="8" ref="B42:F43">B39/26*1000</f>
        <v>53254.43786982249</v>
      </c>
      <c r="C42" s="443">
        <f t="shared" si="8"/>
        <v>348284.0236686391</v>
      </c>
      <c r="D42" s="443">
        <f t="shared" si="8"/>
        <v>569444.3786982249</v>
      </c>
      <c r="E42" s="443">
        <f t="shared" si="8"/>
        <v>931041.5591715978</v>
      </c>
      <c r="F42" s="443">
        <f t="shared" si="8"/>
        <v>1522252.9492455625</v>
      </c>
    </row>
    <row r="43" spans="1:6" ht="12.75">
      <c r="A43" s="442" t="s">
        <v>345</v>
      </c>
      <c r="B43" s="443">
        <f t="shared" si="8"/>
        <v>190.46850792619483</v>
      </c>
      <c r="C43" s="443">
        <f t="shared" si="8"/>
        <v>134927.31094291472</v>
      </c>
      <c r="D43" s="443">
        <f t="shared" si="8"/>
        <v>234042.00955599966</v>
      </c>
      <c r="E43" s="443">
        <f t="shared" si="8"/>
        <v>410162.156258698</v>
      </c>
      <c r="F43" s="443">
        <f t="shared" si="8"/>
        <v>705839.4971860452</v>
      </c>
    </row>
  </sheetData>
  <mergeCells count="83">
    <mergeCell ref="V15:V17"/>
    <mergeCell ref="V19:V20"/>
    <mergeCell ref="V24:V25"/>
    <mergeCell ref="V27:V28"/>
    <mergeCell ref="U15:U17"/>
    <mergeCell ref="U19:U20"/>
    <mergeCell ref="U24:U25"/>
    <mergeCell ref="U27:U28"/>
    <mergeCell ref="R27:R28"/>
    <mergeCell ref="S27:S28"/>
    <mergeCell ref="T27:T28"/>
    <mergeCell ref="N27:N28"/>
    <mergeCell ref="O27:O28"/>
    <mergeCell ref="P27:P28"/>
    <mergeCell ref="Q27:Q28"/>
    <mergeCell ref="B27:B28"/>
    <mergeCell ref="C27:C28"/>
    <mergeCell ref="L27:L28"/>
    <mergeCell ref="M27:M28"/>
    <mergeCell ref="D27:D28"/>
    <mergeCell ref="E27:E28"/>
    <mergeCell ref="F27:F28"/>
    <mergeCell ref="G27:G28"/>
    <mergeCell ref="H27:H28"/>
    <mergeCell ref="I27:I28"/>
    <mergeCell ref="Q24:Q25"/>
    <mergeCell ref="R24:R25"/>
    <mergeCell ref="S24:S25"/>
    <mergeCell ref="T24:T25"/>
    <mergeCell ref="I24:I25"/>
    <mergeCell ref="N24:N25"/>
    <mergeCell ref="O24:O25"/>
    <mergeCell ref="P24:P25"/>
    <mergeCell ref="J24:J25"/>
    <mergeCell ref="T19:T20"/>
    <mergeCell ref="B24:B25"/>
    <mergeCell ref="C24:C25"/>
    <mergeCell ref="L24:L25"/>
    <mergeCell ref="M24:M25"/>
    <mergeCell ref="D24:D25"/>
    <mergeCell ref="E24:E25"/>
    <mergeCell ref="F24:F25"/>
    <mergeCell ref="G24:G25"/>
    <mergeCell ref="H24:H25"/>
    <mergeCell ref="S15:S17"/>
    <mergeCell ref="T15:T17"/>
    <mergeCell ref="E19:E20"/>
    <mergeCell ref="F19:F20"/>
    <mergeCell ref="G19:G20"/>
    <mergeCell ref="H19:H20"/>
    <mergeCell ref="I19:I20"/>
    <mergeCell ref="Q19:Q20"/>
    <mergeCell ref="R19:R20"/>
    <mergeCell ref="S19:S20"/>
    <mergeCell ref="L19:L20"/>
    <mergeCell ref="M19:M20"/>
    <mergeCell ref="Q15:Q17"/>
    <mergeCell ref="R15:R17"/>
    <mergeCell ref="D19:D20"/>
    <mergeCell ref="K24:K25"/>
    <mergeCell ref="O15:O17"/>
    <mergeCell ref="P15:P17"/>
    <mergeCell ref="J19:J20"/>
    <mergeCell ref="N19:N20"/>
    <mergeCell ref="O19:O20"/>
    <mergeCell ref="P19:P20"/>
    <mergeCell ref="L15:L17"/>
    <mergeCell ref="M15:M17"/>
    <mergeCell ref="A3:A5"/>
    <mergeCell ref="B3:N3"/>
    <mergeCell ref="N15:N17"/>
    <mergeCell ref="B15:B17"/>
    <mergeCell ref="C15:C17"/>
    <mergeCell ref="K27:K28"/>
    <mergeCell ref="K19:K20"/>
    <mergeCell ref="O3:S3"/>
    <mergeCell ref="B4:B5"/>
    <mergeCell ref="C4:N4"/>
    <mergeCell ref="O4:O5"/>
    <mergeCell ref="P4:S4"/>
    <mergeCell ref="J27:J28"/>
    <mergeCell ref="B19:B20"/>
    <mergeCell ref="C19:C20"/>
  </mergeCells>
  <printOptions/>
  <pageMargins left="0.36" right="0.16" top="1.46" bottom="0.35" header="0.5" footer="0.3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2007-07-26T14:06:54Z</cp:lastPrinted>
  <dcterms:created xsi:type="dcterms:W3CDTF">2007-06-20T11:32:20Z</dcterms:created>
  <dcterms:modified xsi:type="dcterms:W3CDTF">2007-07-26T14:11:12Z</dcterms:modified>
  <cp:category/>
  <cp:version/>
  <cp:contentType/>
  <cp:contentStatus/>
</cp:coreProperties>
</file>