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2120" windowHeight="7320" tabRatio="710"/>
  </bookViews>
  <sheets>
    <sheet name="Ключевые показатели" sheetId="1" r:id="rId1"/>
    <sheet name="PL" sheetId="2" r:id="rId2"/>
    <sheet name="Доходы" sheetId="3" r:id="rId3"/>
    <sheet name="Себестоимость" sheetId="4" r:id="rId4"/>
    <sheet name="Операционные расходы" sheetId="5" r:id="rId5"/>
    <sheet name="Расчет окупаемости" sheetId="7" r:id="rId6"/>
    <sheet name="словарь" sheetId="8" r:id="rId7"/>
  </sheets>
  <definedNames>
    <definedName name="_xlnm.Print_Area" localSheetId="1">PL!$B$2:$R$69</definedName>
    <definedName name="_xlnm.Print_Area" localSheetId="2">Доходы!$B$2:$O$15</definedName>
    <definedName name="_xlnm.Print_Area" localSheetId="0">'Ключевые показатели'!$C$3:$J$91</definedName>
    <definedName name="_xlnm.Print_Area" localSheetId="4">'Операционные расходы'!$B$2:$P$37</definedName>
    <definedName name="_xlnm.Print_Area" localSheetId="3">Себестоимость!$B$2:$O$14</definedName>
  </definedNames>
  <calcPr calcId="144525"/>
</workbook>
</file>

<file path=xl/calcChain.xml><?xml version="1.0" encoding="utf-8"?>
<calcChain xmlns="http://schemas.openxmlformats.org/spreadsheetml/2006/main">
  <c r="I20" i="1" l="1"/>
  <c r="R15" i="3"/>
  <c r="R10" i="3"/>
  <c r="S42" i="5"/>
  <c r="R48" i="2" s="1"/>
  <c r="R49" i="2" s="1"/>
  <c r="S31" i="5"/>
  <c r="S28" i="5"/>
  <c r="S13" i="5" s="1"/>
  <c r="R37" i="2" s="1"/>
  <c r="R40" i="2" s="1"/>
  <c r="R8" i="2"/>
  <c r="R51" i="2"/>
  <c r="R77" i="2"/>
  <c r="R98" i="2"/>
  <c r="Q22" i="5"/>
  <c r="F10" i="3"/>
  <c r="G10" i="3"/>
  <c r="H10" i="3"/>
  <c r="I10" i="3"/>
  <c r="J10" i="3"/>
  <c r="K10" i="3"/>
  <c r="K15" i="3" s="1"/>
  <c r="L10" i="3"/>
  <c r="L15" i="3" s="1"/>
  <c r="M45" i="5" s="1"/>
  <c r="L67" i="2" s="1"/>
  <c r="M10" i="3"/>
  <c r="M15" i="3" s="1"/>
  <c r="N10" i="3"/>
  <c r="O21" i="5" s="1"/>
  <c r="O10" i="3"/>
  <c r="E10" i="3"/>
  <c r="D10" i="3"/>
  <c r="D15" i="3" s="1"/>
  <c r="E8" i="2"/>
  <c r="O15" i="3"/>
  <c r="P22" i="5" s="1"/>
  <c r="S22" i="5" s="1"/>
  <c r="D81" i="2"/>
  <c r="D97" i="2"/>
  <c r="E97" i="2" s="1"/>
  <c r="Q98" i="2"/>
  <c r="Q100" i="2"/>
  <c r="L8" i="7"/>
  <c r="L12" i="7" s="1"/>
  <c r="M8" i="7"/>
  <c r="M11" i="7" s="1"/>
  <c r="N8" i="7"/>
  <c r="N11" i="7" s="1"/>
  <c r="L10" i="7"/>
  <c r="M10" i="7"/>
  <c r="N10" i="7"/>
  <c r="M12" i="7"/>
  <c r="I8" i="7"/>
  <c r="I11" i="7" s="1"/>
  <c r="J8" i="7"/>
  <c r="J12" i="7" s="1"/>
  <c r="K8" i="7"/>
  <c r="K11" i="7" s="1"/>
  <c r="I10" i="7"/>
  <c r="J10" i="7"/>
  <c r="K10" i="7"/>
  <c r="I12" i="7"/>
  <c r="D8" i="7"/>
  <c r="D12" i="7" s="1"/>
  <c r="E8" i="7"/>
  <c r="E11" i="7" s="1"/>
  <c r="F8" i="7"/>
  <c r="F11" i="7" s="1"/>
  <c r="G8" i="7"/>
  <c r="G11" i="7" s="1"/>
  <c r="G13" i="7" s="1"/>
  <c r="H8" i="7"/>
  <c r="H11" i="7" s="1"/>
  <c r="D10" i="7"/>
  <c r="E10" i="7"/>
  <c r="F10" i="7"/>
  <c r="G10" i="7"/>
  <c r="H10" i="7"/>
  <c r="E12" i="7"/>
  <c r="H12" i="7"/>
  <c r="C10" i="7"/>
  <c r="C8" i="7"/>
  <c r="C12" i="7" s="1"/>
  <c r="E13" i="5"/>
  <c r="F13" i="5"/>
  <c r="F15" i="5" s="1"/>
  <c r="E39" i="2" s="1"/>
  <c r="G13" i="5"/>
  <c r="H13" i="5"/>
  <c r="I13" i="5"/>
  <c r="K13" i="5"/>
  <c r="J37" i="2" s="1"/>
  <c r="L13" i="5"/>
  <c r="M13" i="5"/>
  <c r="M15" i="5" s="1"/>
  <c r="N13" i="5"/>
  <c r="O13" i="5"/>
  <c r="N37" i="2" s="1"/>
  <c r="P13" i="5"/>
  <c r="J13" i="5"/>
  <c r="J15" i="5" s="1"/>
  <c r="I39" i="2" s="1"/>
  <c r="R42" i="5"/>
  <c r="R28" i="5"/>
  <c r="R13" i="5" s="1"/>
  <c r="R31" i="5"/>
  <c r="Q7" i="3"/>
  <c r="E63" i="2"/>
  <c r="F63" i="2"/>
  <c r="G63" i="2"/>
  <c r="H63" i="2"/>
  <c r="I63" i="2"/>
  <c r="J63" i="2"/>
  <c r="K63" i="2"/>
  <c r="L63" i="2"/>
  <c r="M63" i="2"/>
  <c r="N63" i="2"/>
  <c r="O63" i="2"/>
  <c r="D63" i="2"/>
  <c r="E50" i="2"/>
  <c r="E51" i="2" s="1"/>
  <c r="F50" i="2"/>
  <c r="F51" i="2" s="1"/>
  <c r="G50" i="2"/>
  <c r="G51" i="2" s="1"/>
  <c r="H50" i="2"/>
  <c r="H51" i="2" s="1"/>
  <c r="I50" i="2"/>
  <c r="I51" i="2" s="1"/>
  <c r="J50" i="2"/>
  <c r="J51" i="2" s="1"/>
  <c r="K50" i="2"/>
  <c r="K51" i="2" s="1"/>
  <c r="L50" i="2"/>
  <c r="L51" i="2" s="1"/>
  <c r="M50" i="2"/>
  <c r="M51" i="2" s="1"/>
  <c r="N50" i="2"/>
  <c r="N51" i="2" s="1"/>
  <c r="O50" i="2"/>
  <c r="O51" i="2" s="1"/>
  <c r="D50" i="2"/>
  <c r="D51" i="2" s="1"/>
  <c r="E34" i="5"/>
  <c r="D44" i="2" s="1"/>
  <c r="C25" i="2"/>
  <c r="L15" i="5"/>
  <c r="L16" i="5" s="1"/>
  <c r="E15" i="5"/>
  <c r="D39" i="2"/>
  <c r="F34" i="5"/>
  <c r="E44" i="2" s="1"/>
  <c r="E47" i="2" s="1"/>
  <c r="G34" i="5"/>
  <c r="F44" i="2" s="1"/>
  <c r="F47" i="2" s="1"/>
  <c r="H34" i="5"/>
  <c r="G44" i="2" s="1"/>
  <c r="G47" i="2" s="1"/>
  <c r="I34" i="5"/>
  <c r="H44" i="2" s="1"/>
  <c r="H47" i="2" s="1"/>
  <c r="J34" i="5"/>
  <c r="I44" i="2" s="1"/>
  <c r="I47" i="2" s="1"/>
  <c r="K34" i="5"/>
  <c r="J44" i="2" s="1"/>
  <c r="J47" i="2" s="1"/>
  <c r="L34" i="5"/>
  <c r="K44" i="2" s="1"/>
  <c r="K47" i="2" s="1"/>
  <c r="M34" i="5"/>
  <c r="L44" i="2" s="1"/>
  <c r="L47" i="2" s="1"/>
  <c r="N34" i="5"/>
  <c r="M44" i="2" s="1"/>
  <c r="M47" i="2" s="1"/>
  <c r="O34" i="5"/>
  <c r="N44" i="2" s="1"/>
  <c r="N47" i="2" s="1"/>
  <c r="P34" i="5"/>
  <c r="O44" i="2" s="1"/>
  <c r="O47" i="2" s="1"/>
  <c r="Q9" i="2"/>
  <c r="G21" i="5"/>
  <c r="G8" i="2"/>
  <c r="I21" i="5"/>
  <c r="I8" i="2"/>
  <c r="I7" i="2" s="1"/>
  <c r="K21" i="5"/>
  <c r="K8" i="2"/>
  <c r="K7" i="2" s="1"/>
  <c r="M21" i="5"/>
  <c r="M8" i="2"/>
  <c r="P21" i="5"/>
  <c r="S21" i="5" s="1"/>
  <c r="E21" i="5"/>
  <c r="E7" i="4"/>
  <c r="E9" i="4" s="1"/>
  <c r="E13" i="2" s="1"/>
  <c r="F7" i="4"/>
  <c r="F9" i="4" s="1"/>
  <c r="F13" i="2" s="1"/>
  <c r="G7" i="4"/>
  <c r="G9" i="4" s="1"/>
  <c r="G13" i="2" s="1"/>
  <c r="H7" i="4"/>
  <c r="H9" i="4" s="1"/>
  <c r="H13" i="2" s="1"/>
  <c r="I7" i="4"/>
  <c r="I9" i="4" s="1"/>
  <c r="I13" i="2" s="1"/>
  <c r="J7" i="4"/>
  <c r="J9" i="4" s="1"/>
  <c r="J13" i="2" s="1"/>
  <c r="K7" i="4"/>
  <c r="K9" i="4" s="1"/>
  <c r="K13" i="2" s="1"/>
  <c r="K16" i="2" s="1"/>
  <c r="L7" i="4"/>
  <c r="L9" i="4" s="1"/>
  <c r="L13" i="2" s="1"/>
  <c r="L16" i="2" s="1"/>
  <c r="M7" i="4"/>
  <c r="M9" i="4" s="1"/>
  <c r="M13" i="2" s="1"/>
  <c r="N7" i="4"/>
  <c r="N9" i="4" s="1"/>
  <c r="N13" i="2" s="1"/>
  <c r="O7" i="4"/>
  <c r="O9" i="4" s="1"/>
  <c r="O13" i="2" s="1"/>
  <c r="D7" i="4"/>
  <c r="E38" i="2"/>
  <c r="F38" i="2"/>
  <c r="G38" i="2"/>
  <c r="H38" i="2"/>
  <c r="I38" i="2"/>
  <c r="J38" i="2"/>
  <c r="K38" i="2"/>
  <c r="L38" i="2"/>
  <c r="M38" i="2"/>
  <c r="N38" i="2"/>
  <c r="D38" i="2"/>
  <c r="E34" i="2"/>
  <c r="F34" i="2"/>
  <c r="G34" i="2"/>
  <c r="H34" i="2"/>
  <c r="I34" i="2"/>
  <c r="J34" i="2"/>
  <c r="K34" i="2"/>
  <c r="L34" i="2"/>
  <c r="M34" i="2"/>
  <c r="N34" i="2"/>
  <c r="D34" i="2"/>
  <c r="E30" i="2"/>
  <c r="F30" i="2"/>
  <c r="G30" i="2"/>
  <c r="H30" i="2"/>
  <c r="I30" i="2"/>
  <c r="J30" i="2"/>
  <c r="K30" i="2"/>
  <c r="L30" i="2"/>
  <c r="M30" i="2"/>
  <c r="N30" i="2"/>
  <c r="D30" i="2"/>
  <c r="Q58" i="2"/>
  <c r="Q48" i="2"/>
  <c r="E49" i="2"/>
  <c r="F49" i="2"/>
  <c r="G49" i="2"/>
  <c r="H49" i="2"/>
  <c r="I49" i="2"/>
  <c r="J49" i="2"/>
  <c r="K49" i="2"/>
  <c r="L49" i="2"/>
  <c r="M49" i="2"/>
  <c r="N49" i="2"/>
  <c r="O49" i="2"/>
  <c r="D49" i="2"/>
  <c r="D35" i="2"/>
  <c r="O34" i="2"/>
  <c r="Q46" i="2"/>
  <c r="F35" i="2"/>
  <c r="H35" i="2"/>
  <c r="O35" i="2"/>
  <c r="Q45" i="2"/>
  <c r="L35" i="2"/>
  <c r="O38" i="2"/>
  <c r="P45" i="5"/>
  <c r="O67" i="2" s="1"/>
  <c r="J35" i="2"/>
  <c r="E35" i="2"/>
  <c r="G35" i="2"/>
  <c r="I35" i="2"/>
  <c r="K35" i="2"/>
  <c r="M35" i="2"/>
  <c r="E31" i="2"/>
  <c r="M31" i="2"/>
  <c r="K31" i="2"/>
  <c r="I31" i="2"/>
  <c r="G31" i="2"/>
  <c r="N31" i="2"/>
  <c r="L31" i="2"/>
  <c r="J31" i="2"/>
  <c r="H31" i="2"/>
  <c r="F31" i="2"/>
  <c r="O30" i="2"/>
  <c r="O31" i="2"/>
  <c r="D31" i="2"/>
  <c r="D37" i="2"/>
  <c r="N15" i="5"/>
  <c r="M39" i="2" s="1"/>
  <c r="M37" i="2"/>
  <c r="N35" i="2"/>
  <c r="P15" i="5"/>
  <c r="O39" i="2" s="1"/>
  <c r="O37" i="2"/>
  <c r="P16" i="5"/>
  <c r="K39" i="2"/>
  <c r="G15" i="5"/>
  <c r="F39" i="2" s="1"/>
  <c r="F37" i="2"/>
  <c r="I15" i="5"/>
  <c r="H39" i="2" s="1"/>
  <c r="H37" i="2"/>
  <c r="K37" i="2"/>
  <c r="E16" i="5"/>
  <c r="G16" i="5"/>
  <c r="N12" i="7"/>
  <c r="G12" i="7"/>
  <c r="Q81" i="2"/>
  <c r="E25" i="5" l="1"/>
  <c r="E45" i="5"/>
  <c r="E22" i="5"/>
  <c r="N45" i="5"/>
  <c r="M67" i="2" s="1"/>
  <c r="N22" i="5"/>
  <c r="L45" i="5"/>
  <c r="K67" i="2" s="1"/>
  <c r="L22" i="5"/>
  <c r="N13" i="7"/>
  <c r="E5" i="5"/>
  <c r="O14" i="4"/>
  <c r="M14" i="4"/>
  <c r="K14" i="4"/>
  <c r="I14" i="4"/>
  <c r="G14" i="4"/>
  <c r="C11" i="7"/>
  <c r="S34" i="5"/>
  <c r="R44" i="2" s="1"/>
  <c r="R47" i="2" s="1"/>
  <c r="H13" i="7"/>
  <c r="E13" i="7"/>
  <c r="G37" i="2"/>
  <c r="L37" i="2"/>
  <c r="K15" i="5"/>
  <c r="J39" i="2" s="1"/>
  <c r="O15" i="5"/>
  <c r="N39" i="2" s="1"/>
  <c r="P5" i="5"/>
  <c r="H15" i="5"/>
  <c r="G39" i="2" s="1"/>
  <c r="F12" i="7"/>
  <c r="F13" i="7" s="1"/>
  <c r="I13" i="7"/>
  <c r="E14" i="4"/>
  <c r="N14" i="4"/>
  <c r="L14" i="4"/>
  <c r="J14" i="4"/>
  <c r="H14" i="4"/>
  <c r="F14" i="4"/>
  <c r="M22" i="5"/>
  <c r="M5" i="5" s="1"/>
  <c r="D11" i="7"/>
  <c r="L11" i="7"/>
  <c r="J11" i="7"/>
  <c r="C15" i="7"/>
  <c r="S45" i="5"/>
  <c r="R67" i="2" s="1"/>
  <c r="I25" i="1" s="1"/>
  <c r="S15" i="5"/>
  <c r="S16" i="5" s="1"/>
  <c r="S5" i="5"/>
  <c r="S8" i="5" s="1"/>
  <c r="R29" i="2" s="1"/>
  <c r="R32" i="2" s="1"/>
  <c r="R52" i="2"/>
  <c r="Q35" i="2"/>
  <c r="D40" i="2"/>
  <c r="D13" i="7"/>
  <c r="J13" i="7"/>
  <c r="M13" i="7"/>
  <c r="L13" i="7"/>
  <c r="K12" i="7"/>
  <c r="K13" i="7" s="1"/>
  <c r="C13" i="7"/>
  <c r="Q49" i="2"/>
  <c r="E52" i="2"/>
  <c r="K40" i="2"/>
  <c r="H40" i="2"/>
  <c r="L39" i="2"/>
  <c r="M16" i="5"/>
  <c r="I16" i="5"/>
  <c r="I37" i="2"/>
  <c r="F16" i="5"/>
  <c r="J16" i="5"/>
  <c r="E37" i="2"/>
  <c r="Q30" i="2"/>
  <c r="F40" i="2"/>
  <c r="M40" i="2"/>
  <c r="Q31" i="2"/>
  <c r="Q38" i="2"/>
  <c r="M52" i="2"/>
  <c r="L15" i="7" s="1"/>
  <c r="R34" i="5"/>
  <c r="L40" i="2"/>
  <c r="Q39" i="2"/>
  <c r="D47" i="2"/>
  <c r="D52" i="2" s="1"/>
  <c r="Q44" i="2"/>
  <c r="R15" i="5"/>
  <c r="R16" i="5" s="1"/>
  <c r="K16" i="5"/>
  <c r="N16" i="5"/>
  <c r="O16" i="5"/>
  <c r="O40" i="2"/>
  <c r="N40" i="2"/>
  <c r="Q34" i="2"/>
  <c r="E40" i="2"/>
  <c r="N15" i="3"/>
  <c r="Q10" i="3"/>
  <c r="Q15" i="3" s="1"/>
  <c r="R22" i="5" s="1"/>
  <c r="I52" i="2"/>
  <c r="Q50" i="2"/>
  <c r="D98" i="2"/>
  <c r="I40" i="2"/>
  <c r="Q63" i="2"/>
  <c r="E98" i="2"/>
  <c r="F97" i="2"/>
  <c r="L52" i="2"/>
  <c r="K15" i="7" s="1"/>
  <c r="J52" i="2"/>
  <c r="G40" i="2"/>
  <c r="J40" i="2"/>
  <c r="N52" i="2"/>
  <c r="H52" i="2"/>
  <c r="G52" i="2"/>
  <c r="I16" i="2"/>
  <c r="O52" i="2"/>
  <c r="K52" i="2"/>
  <c r="J15" i="7" s="1"/>
  <c r="N16" i="2"/>
  <c r="J16" i="2"/>
  <c r="F18" i="1" s="1"/>
  <c r="H16" i="2"/>
  <c r="F16" i="2"/>
  <c r="F52" i="2"/>
  <c r="Q47" i="2"/>
  <c r="Q51" i="2"/>
  <c r="Q7" i="4"/>
  <c r="M16" i="2"/>
  <c r="G16" i="2"/>
  <c r="E16" i="2"/>
  <c r="E7" i="2"/>
  <c r="E77" i="2" s="1"/>
  <c r="J15" i="3"/>
  <c r="I15" i="3"/>
  <c r="H15" i="3"/>
  <c r="G15" i="3"/>
  <c r="F15" i="3"/>
  <c r="E15" i="3"/>
  <c r="O29" i="2"/>
  <c r="O32" i="2" s="1"/>
  <c r="P8" i="5"/>
  <c r="M7" i="2"/>
  <c r="K77" i="2"/>
  <c r="K18" i="2"/>
  <c r="I77" i="2"/>
  <c r="I18" i="2"/>
  <c r="G7" i="2"/>
  <c r="M8" i="5"/>
  <c r="L29" i="2"/>
  <c r="L32" i="2" s="1"/>
  <c r="O16" i="2"/>
  <c r="O8" i="2"/>
  <c r="O7" i="2" s="1"/>
  <c r="N8" i="2"/>
  <c r="N7" i="2" s="1"/>
  <c r="L8" i="2"/>
  <c r="L7" i="2" s="1"/>
  <c r="J8" i="2"/>
  <c r="H8" i="2"/>
  <c r="H7" i="2" s="1"/>
  <c r="F8" i="2"/>
  <c r="F7" i="2" s="1"/>
  <c r="P40" i="5"/>
  <c r="N40" i="5"/>
  <c r="M25" i="2" s="1"/>
  <c r="M26" i="2" s="1"/>
  <c r="L40" i="5"/>
  <c r="K25" i="2" s="1"/>
  <c r="K26" i="2" s="1"/>
  <c r="J40" i="5"/>
  <c r="I25" i="2" s="1"/>
  <c r="I26" i="2" s="1"/>
  <c r="F40" i="5"/>
  <c r="E25" i="2" s="1"/>
  <c r="E26" i="2" s="1"/>
  <c r="N21" i="5"/>
  <c r="N5" i="5" s="1"/>
  <c r="L21" i="5"/>
  <c r="L5" i="5" s="1"/>
  <c r="J21" i="5"/>
  <c r="H21" i="5"/>
  <c r="F21" i="5"/>
  <c r="P25" i="5"/>
  <c r="O25" i="5"/>
  <c r="O9" i="5" s="1"/>
  <c r="N25" i="5"/>
  <c r="N9" i="5" s="1"/>
  <c r="M25" i="5"/>
  <c r="M9" i="5" s="1"/>
  <c r="L25" i="5"/>
  <c r="L9" i="5" s="1"/>
  <c r="K25" i="5"/>
  <c r="K9" i="5" s="1"/>
  <c r="J25" i="5"/>
  <c r="J9" i="5" s="1"/>
  <c r="I25" i="5"/>
  <c r="I9" i="5" s="1"/>
  <c r="H25" i="5"/>
  <c r="H9" i="5" s="1"/>
  <c r="G25" i="5"/>
  <c r="G9" i="5" s="1"/>
  <c r="F25" i="5"/>
  <c r="F9" i="5" s="1"/>
  <c r="O40" i="5"/>
  <c r="N25" i="2" s="1"/>
  <c r="N26" i="2" s="1"/>
  <c r="M40" i="5"/>
  <c r="L25" i="2" s="1"/>
  <c r="L26" i="2" s="1"/>
  <c r="K40" i="5"/>
  <c r="J25" i="2" s="1"/>
  <c r="J26" i="2" s="1"/>
  <c r="G40" i="5"/>
  <c r="F25" i="2" s="1"/>
  <c r="F26" i="2" s="1"/>
  <c r="E9" i="5"/>
  <c r="D9" i="4"/>
  <c r="D14" i="4" s="1"/>
  <c r="D8" i="2"/>
  <c r="P9" i="5" l="1"/>
  <c r="S25" i="5"/>
  <c r="S9" i="5" s="1"/>
  <c r="O25" i="2"/>
  <c r="O26" i="2" s="1"/>
  <c r="S40" i="5"/>
  <c r="R25" i="2" s="1"/>
  <c r="R26" i="2" s="1"/>
  <c r="G45" i="5"/>
  <c r="F67" i="2" s="1"/>
  <c r="G22" i="5"/>
  <c r="G5" i="5" s="1"/>
  <c r="I45" i="5"/>
  <c r="H67" i="2" s="1"/>
  <c r="I22" i="5"/>
  <c r="I5" i="5" s="1"/>
  <c r="K45" i="5"/>
  <c r="J67" i="2" s="1"/>
  <c r="F25" i="1" s="1"/>
  <c r="K22" i="5"/>
  <c r="K5" i="5" s="1"/>
  <c r="O45" i="5"/>
  <c r="N67" i="2" s="1"/>
  <c r="G25" i="1" s="1"/>
  <c r="O22" i="5"/>
  <c r="O5" i="5" s="1"/>
  <c r="O8" i="5" s="1"/>
  <c r="F5" i="5"/>
  <c r="F45" i="5"/>
  <c r="E67" i="2" s="1"/>
  <c r="F22" i="5"/>
  <c r="H45" i="5"/>
  <c r="G67" i="2" s="1"/>
  <c r="H22" i="5"/>
  <c r="H5" i="5" s="1"/>
  <c r="J45" i="5"/>
  <c r="I67" i="2" s="1"/>
  <c r="J22" i="5"/>
  <c r="J5" i="5" s="1"/>
  <c r="M15" i="7"/>
  <c r="H16" i="5"/>
  <c r="Q37" i="2"/>
  <c r="D7" i="2"/>
  <c r="D17" i="1"/>
  <c r="D15" i="7"/>
  <c r="G23" i="1"/>
  <c r="N15" i="7"/>
  <c r="G15" i="7"/>
  <c r="I15" i="7"/>
  <c r="E15" i="7"/>
  <c r="F15" i="7"/>
  <c r="H15" i="7"/>
  <c r="D23" i="1"/>
  <c r="N29" i="2"/>
  <c r="N32" i="2" s="1"/>
  <c r="F23" i="1"/>
  <c r="Q40" i="2"/>
  <c r="G18" i="1"/>
  <c r="H40" i="5"/>
  <c r="G25" i="2" s="1"/>
  <c r="G26" i="2" s="1"/>
  <c r="I40" i="5"/>
  <c r="H25" i="2" s="1"/>
  <c r="H26" i="2" s="1"/>
  <c r="Q8" i="3"/>
  <c r="E18" i="1"/>
  <c r="E23" i="1"/>
  <c r="G97" i="2"/>
  <c r="F98" i="2"/>
  <c r="F21" i="1"/>
  <c r="E18" i="2"/>
  <c r="E19" i="2" s="1"/>
  <c r="Q52" i="2"/>
  <c r="E25" i="1"/>
  <c r="R21" i="5"/>
  <c r="R25" i="5"/>
  <c r="R9" i="5" s="1"/>
  <c r="R12" i="5" s="1"/>
  <c r="G21" i="1"/>
  <c r="F12" i="5"/>
  <c r="E33" i="2"/>
  <c r="E36" i="2" s="1"/>
  <c r="G33" i="2"/>
  <c r="G36" i="2" s="1"/>
  <c r="H12" i="5"/>
  <c r="I33" i="2"/>
  <c r="I36" i="2" s="1"/>
  <c r="J12" i="5"/>
  <c r="K33" i="2"/>
  <c r="K36" i="2" s="1"/>
  <c r="L12" i="5"/>
  <c r="M33" i="2"/>
  <c r="M36" i="2" s="1"/>
  <c r="N12" i="5"/>
  <c r="P12" i="5"/>
  <c r="P17" i="5" s="1"/>
  <c r="O33" i="2"/>
  <c r="O36" i="2" s="1"/>
  <c r="O41" i="2" s="1"/>
  <c r="O78" i="2" s="1"/>
  <c r="L8" i="5"/>
  <c r="K29" i="2"/>
  <c r="K32" i="2" s="1"/>
  <c r="H77" i="2"/>
  <c r="H18" i="2"/>
  <c r="L77" i="2"/>
  <c r="L18" i="2"/>
  <c r="O18" i="2"/>
  <c r="O77" i="2"/>
  <c r="G18" i="2"/>
  <c r="G77" i="2"/>
  <c r="G12" i="5"/>
  <c r="F33" i="2"/>
  <c r="F36" i="2" s="1"/>
  <c r="H33" i="2"/>
  <c r="H36" i="2" s="1"/>
  <c r="I12" i="5"/>
  <c r="J33" i="2"/>
  <c r="J36" i="2" s="1"/>
  <c r="K12" i="5"/>
  <c r="L33" i="2"/>
  <c r="L36" i="2" s="1"/>
  <c r="L41" i="2" s="1"/>
  <c r="L78" i="2" s="1"/>
  <c r="M12" i="5"/>
  <c r="M17" i="5" s="1"/>
  <c r="O12" i="5"/>
  <c r="O17" i="5" s="1"/>
  <c r="N33" i="2"/>
  <c r="N36" i="2" s="1"/>
  <c r="E29" i="2"/>
  <c r="E32" i="2" s="1"/>
  <c r="F8" i="5"/>
  <c r="M29" i="2"/>
  <c r="M32" i="2" s="1"/>
  <c r="M41" i="2" s="1"/>
  <c r="N8" i="5"/>
  <c r="N17" i="5" s="1"/>
  <c r="F77" i="2"/>
  <c r="F18" i="2"/>
  <c r="J7" i="2"/>
  <c r="F17" i="1"/>
  <c r="F16" i="1" s="1"/>
  <c r="F19" i="1" s="1"/>
  <c r="N18" i="2"/>
  <c r="N77" i="2"/>
  <c r="I19" i="2"/>
  <c r="K19" i="2"/>
  <c r="M18" i="2"/>
  <c r="M77" i="2"/>
  <c r="G17" i="1"/>
  <c r="G16" i="1" s="1"/>
  <c r="E17" i="1"/>
  <c r="E16" i="1" s="1"/>
  <c r="D25" i="2"/>
  <c r="D26" i="2" s="1"/>
  <c r="R40" i="5"/>
  <c r="Q9" i="4"/>
  <c r="Q14" i="4" s="1"/>
  <c r="R45" i="5"/>
  <c r="D67" i="2"/>
  <c r="D77" i="2"/>
  <c r="D29" i="2"/>
  <c r="E8" i="5"/>
  <c r="D33" i="2"/>
  <c r="E12" i="5"/>
  <c r="Q8" i="2"/>
  <c r="Q7" i="2" s="1"/>
  <c r="S7" i="2" s="1"/>
  <c r="I29" i="2" l="1"/>
  <c r="I32" i="2" s="1"/>
  <c r="J8" i="5"/>
  <c r="G29" i="2"/>
  <c r="G32" i="2" s="1"/>
  <c r="H8" i="5"/>
  <c r="E21" i="1"/>
  <c r="D16" i="1"/>
  <c r="H17" i="1"/>
  <c r="H16" i="1" s="1"/>
  <c r="J29" i="2"/>
  <c r="J32" i="2" s="1"/>
  <c r="J41" i="2" s="1"/>
  <c r="K8" i="5"/>
  <c r="I8" i="5"/>
  <c r="H29" i="2"/>
  <c r="H32" i="2" s="1"/>
  <c r="H41" i="2" s="1"/>
  <c r="F29" i="2"/>
  <c r="F32" i="2" s="1"/>
  <c r="G8" i="5"/>
  <c r="G17" i="5" s="1"/>
  <c r="K17" i="5"/>
  <c r="I17" i="5"/>
  <c r="F41" i="2"/>
  <c r="F78" i="2" s="1"/>
  <c r="R5" i="5"/>
  <c r="R8" i="5" s="1"/>
  <c r="R17" i="5" s="1"/>
  <c r="S12" i="5"/>
  <c r="S17" i="5" s="1"/>
  <c r="R33" i="2"/>
  <c r="R36" i="2" s="1"/>
  <c r="R41" i="2" s="1"/>
  <c r="E19" i="1"/>
  <c r="G19" i="1"/>
  <c r="G20" i="1" s="1"/>
  <c r="N41" i="2"/>
  <c r="N78" i="2" s="1"/>
  <c r="N79" i="2" s="1"/>
  <c r="N83" i="2" s="1"/>
  <c r="H23" i="1"/>
  <c r="G98" i="2"/>
  <c r="H97" i="2"/>
  <c r="F17" i="5"/>
  <c r="I41" i="2"/>
  <c r="K41" i="2"/>
  <c r="G41" i="2"/>
  <c r="G55" i="2" s="1"/>
  <c r="E41" i="2"/>
  <c r="E78" i="2" s="1"/>
  <c r="E79" i="2" s="1"/>
  <c r="E83" i="2" s="1"/>
  <c r="E86" i="2" s="1"/>
  <c r="J17" i="5"/>
  <c r="L17" i="5"/>
  <c r="H17" i="5"/>
  <c r="M19" i="2"/>
  <c r="M55" i="2"/>
  <c r="N19" i="2"/>
  <c r="N55" i="2"/>
  <c r="J77" i="2"/>
  <c r="J18" i="2"/>
  <c r="M78" i="2"/>
  <c r="M79" i="2" s="1"/>
  <c r="M83" i="2" s="1"/>
  <c r="G19" i="2"/>
  <c r="O19" i="2"/>
  <c r="O55" i="2"/>
  <c r="F79" i="2"/>
  <c r="F83" i="2" s="1"/>
  <c r="F86" i="2" s="1"/>
  <c r="L79" i="2"/>
  <c r="L83" i="2" s="1"/>
  <c r="E20" i="1"/>
  <c r="F20" i="1"/>
  <c r="F19" i="2"/>
  <c r="F55" i="2"/>
  <c r="L55" i="2"/>
  <c r="L19" i="2"/>
  <c r="H19" i="2"/>
  <c r="O79" i="2"/>
  <c r="O83" i="2" s="1"/>
  <c r="Q77" i="2"/>
  <c r="D36" i="2"/>
  <c r="Q36" i="2" s="1"/>
  <c r="Q33" i="2"/>
  <c r="Q29" i="2"/>
  <c r="D32" i="2"/>
  <c r="D25" i="1"/>
  <c r="H25" i="1" s="1"/>
  <c r="Q67" i="2"/>
  <c r="Q13" i="2"/>
  <c r="Q16" i="2" s="1"/>
  <c r="D16" i="2"/>
  <c r="Q8" i="4"/>
  <c r="R8" i="4" s="1"/>
  <c r="R9" i="4" s="1"/>
  <c r="R14" i="4" s="1"/>
  <c r="R13" i="2" s="1"/>
  <c r="R16" i="2" s="1"/>
  <c r="R18" i="2" s="1"/>
  <c r="Q25" i="2"/>
  <c r="E17" i="5"/>
  <c r="J78" i="2" l="1"/>
  <c r="F22" i="1"/>
  <c r="F24" i="1" s="1"/>
  <c r="F26" i="1" s="1"/>
  <c r="F27" i="1" s="1"/>
  <c r="H78" i="2"/>
  <c r="H79" i="2" s="1"/>
  <c r="H83" i="2" s="1"/>
  <c r="H55" i="2"/>
  <c r="R78" i="2"/>
  <c r="R79" i="2" s="1"/>
  <c r="R83" i="2" s="1"/>
  <c r="R19" i="2"/>
  <c r="R55" i="2"/>
  <c r="Q18" i="2"/>
  <c r="S18" i="2" s="1"/>
  <c r="S16" i="2"/>
  <c r="G22" i="1"/>
  <c r="G24" i="1" s="1"/>
  <c r="G26" i="1" s="1"/>
  <c r="G27" i="1" s="1"/>
  <c r="E55" i="2"/>
  <c r="E66" i="2" s="1"/>
  <c r="E68" i="2" s="1"/>
  <c r="E69" i="2" s="1"/>
  <c r="G78" i="2"/>
  <c r="G79" i="2" s="1"/>
  <c r="G83" i="2" s="1"/>
  <c r="G86" i="2" s="1"/>
  <c r="I97" i="2"/>
  <c r="H98" i="2"/>
  <c r="H86" i="2" s="1"/>
  <c r="E22" i="1"/>
  <c r="E24" i="1" s="1"/>
  <c r="E26" i="1" s="1"/>
  <c r="E27" i="1" s="1"/>
  <c r="I78" i="2"/>
  <c r="I79" i="2" s="1"/>
  <c r="I83" i="2" s="1"/>
  <c r="I55" i="2"/>
  <c r="K78" i="2"/>
  <c r="K79" i="2" s="1"/>
  <c r="K83" i="2" s="1"/>
  <c r="K55" i="2"/>
  <c r="J79" i="2"/>
  <c r="J83" i="2" s="1"/>
  <c r="H66" i="2"/>
  <c r="H68" i="2" s="1"/>
  <c r="H69" i="2" s="1"/>
  <c r="H56" i="2"/>
  <c r="F66" i="2"/>
  <c r="F68" i="2" s="1"/>
  <c r="F69" i="2" s="1"/>
  <c r="F56" i="2"/>
  <c r="G66" i="2"/>
  <c r="G68" i="2" s="1"/>
  <c r="G69" i="2" s="1"/>
  <c r="G56" i="2"/>
  <c r="L56" i="2"/>
  <c r="L66" i="2"/>
  <c r="L68" i="2" s="1"/>
  <c r="L69" i="2" s="1"/>
  <c r="O56" i="2"/>
  <c r="O66" i="2"/>
  <c r="O68" i="2" s="1"/>
  <c r="O69" i="2" s="1"/>
  <c r="E56" i="2"/>
  <c r="J19" i="2"/>
  <c r="J55" i="2"/>
  <c r="N66" i="2"/>
  <c r="N68" i="2" s="1"/>
  <c r="N69" i="2" s="1"/>
  <c r="N56" i="2"/>
  <c r="M56" i="2"/>
  <c r="M66" i="2"/>
  <c r="M68" i="2" s="1"/>
  <c r="M69" i="2" s="1"/>
  <c r="Q19" i="2"/>
  <c r="D18" i="1"/>
  <c r="D18" i="2"/>
  <c r="D41" i="2"/>
  <c r="Q32" i="2"/>
  <c r="D21" i="1"/>
  <c r="H21" i="1" s="1"/>
  <c r="Q26" i="2"/>
  <c r="I24" i="1" l="1"/>
  <c r="R66" i="2"/>
  <c r="R68" i="2" s="1"/>
  <c r="R56" i="2"/>
  <c r="R102" i="2"/>
  <c r="R86" i="2"/>
  <c r="I98" i="2"/>
  <c r="I86" i="2" s="1"/>
  <c r="J97" i="2"/>
  <c r="K66" i="2"/>
  <c r="K68" i="2" s="1"/>
  <c r="K69" i="2" s="1"/>
  <c r="K56" i="2"/>
  <c r="I66" i="2"/>
  <c r="I68" i="2" s="1"/>
  <c r="I69" i="2" s="1"/>
  <c r="I56" i="2"/>
  <c r="J56" i="2"/>
  <c r="J66" i="2"/>
  <c r="J68" i="2" s="1"/>
  <c r="J69" i="2" s="1"/>
  <c r="D55" i="2"/>
  <c r="D19" i="2"/>
  <c r="C17" i="7"/>
  <c r="C16" i="7"/>
  <c r="Q41" i="2"/>
  <c r="Q78" i="2" s="1"/>
  <c r="Q79" i="2" s="1"/>
  <c r="Q83" i="2" s="1"/>
  <c r="Q102" i="2" s="1"/>
  <c r="S94" i="2" s="1"/>
  <c r="D22" i="1"/>
  <c r="H22" i="1" s="1"/>
  <c r="D78" i="2"/>
  <c r="D79" i="2" s="1"/>
  <c r="D83" i="2" s="1"/>
  <c r="H18" i="1"/>
  <c r="H19" i="1" s="1"/>
  <c r="H20" i="1" s="1"/>
  <c r="D19" i="1"/>
  <c r="R69" i="2" l="1"/>
  <c r="I26" i="1"/>
  <c r="I27" i="1" s="1"/>
  <c r="K97" i="2"/>
  <c r="J98" i="2"/>
  <c r="J86" i="2" s="1"/>
  <c r="D24" i="1"/>
  <c r="D26" i="1" s="1"/>
  <c r="D27" i="1" s="1"/>
  <c r="D20" i="1"/>
  <c r="D84" i="2"/>
  <c r="D86" i="2"/>
  <c r="D16" i="7"/>
  <c r="D17" i="7"/>
  <c r="H24" i="1"/>
  <c r="H26" i="1" s="1"/>
  <c r="H27" i="1" s="1"/>
  <c r="D56" i="2"/>
  <c r="D66" i="2"/>
  <c r="Q55" i="2"/>
  <c r="Q56" i="2" s="1"/>
  <c r="K98" i="2" l="1"/>
  <c r="K86" i="2" s="1"/>
  <c r="L97" i="2"/>
  <c r="D67" i="1"/>
  <c r="D87" i="2"/>
  <c r="D68" i="2"/>
  <c r="Q66" i="2"/>
  <c r="E17" i="7"/>
  <c r="E16" i="7"/>
  <c r="D92" i="2"/>
  <c r="E84" i="2"/>
  <c r="M97" i="2" l="1"/>
  <c r="L98" i="2"/>
  <c r="L86" i="2" s="1"/>
  <c r="F16" i="7"/>
  <c r="F17" i="7"/>
  <c r="E92" i="2"/>
  <c r="F84" i="2"/>
  <c r="D69" i="2"/>
  <c r="Q68" i="2"/>
  <c r="D93" i="2"/>
  <c r="E87" i="2"/>
  <c r="Q69" i="2" l="1"/>
  <c r="S68" i="2"/>
  <c r="M98" i="2"/>
  <c r="M86" i="2" s="1"/>
  <c r="N97" i="2"/>
  <c r="F87" i="2"/>
  <c r="E93" i="2"/>
  <c r="G84" i="2"/>
  <c r="F92" i="2"/>
  <c r="G17" i="7"/>
  <c r="G16" i="7"/>
  <c r="O97" i="2" l="1"/>
  <c r="O98" i="2" s="1"/>
  <c r="O86" i="2" s="1"/>
  <c r="N98" i="2"/>
  <c r="N86" i="2" s="1"/>
  <c r="H17" i="7"/>
  <c r="H16" i="7"/>
  <c r="H84" i="2"/>
  <c r="G92" i="2"/>
  <c r="G87" i="2"/>
  <c r="F93" i="2"/>
  <c r="Q86" i="2" l="1"/>
  <c r="I16" i="7"/>
  <c r="I17" i="7"/>
  <c r="G93" i="2"/>
  <c r="H87" i="2"/>
  <c r="I84" i="2"/>
  <c r="H92" i="2"/>
  <c r="I87" i="2" l="1"/>
  <c r="H93" i="2"/>
  <c r="J84" i="2"/>
  <c r="I92" i="2"/>
  <c r="J17" i="7"/>
  <c r="J16" i="7"/>
  <c r="J92" i="2" l="1"/>
  <c r="K84" i="2"/>
  <c r="I93" i="2"/>
  <c r="J87" i="2"/>
  <c r="K17" i="7"/>
  <c r="K16" i="7"/>
  <c r="L17" i="7" l="1"/>
  <c r="L16" i="7"/>
  <c r="K87" i="2"/>
  <c r="J93" i="2"/>
  <c r="L84" i="2"/>
  <c r="K92" i="2"/>
  <c r="M17" i="7" l="1"/>
  <c r="M16" i="7"/>
  <c r="M84" i="2"/>
  <c r="L92" i="2"/>
  <c r="K93" i="2"/>
  <c r="L87" i="2"/>
  <c r="M87" i="2" l="1"/>
  <c r="L93" i="2"/>
  <c r="N16" i="7"/>
  <c r="N17" i="7"/>
  <c r="N84" i="2"/>
  <c r="M92" i="2"/>
  <c r="O84" i="2" l="1"/>
  <c r="N92" i="2"/>
  <c r="N87" i="2"/>
  <c r="M93" i="2"/>
  <c r="N93" i="2" l="1"/>
  <c r="O87" i="2"/>
  <c r="O92" i="2"/>
  <c r="Q92" i="2" s="1"/>
  <c r="Q84" i="2"/>
  <c r="R84" i="2" s="1"/>
  <c r="R92" i="2" s="1"/>
  <c r="S92" i="2" l="1"/>
  <c r="D68" i="1" s="1"/>
  <c r="Q87" i="2"/>
  <c r="O93" i="2"/>
  <c r="Q93" i="2" s="1"/>
  <c r="D66" i="1" l="1"/>
  <c r="R87" i="2"/>
  <c r="R93" i="2" s="1"/>
  <c r="S93" i="2" s="1"/>
  <c r="D69" i="1" s="1"/>
</calcChain>
</file>

<file path=xl/comments1.xml><?xml version="1.0" encoding="utf-8"?>
<comments xmlns="http://schemas.openxmlformats.org/spreadsheetml/2006/main">
  <authors>
    <author>d.samohvalov</author>
  </authors>
  <commentList>
    <comment ref="D98" authorId="0">
      <text>
        <r>
          <rPr>
            <sz val="8"/>
            <color indexed="81"/>
            <rFont val="Tahoma"/>
            <family val="2"/>
            <charset val="204"/>
          </rPr>
          <t>1-й, 2-й год помесячное дисконтирование к началу 11 года</t>
        </r>
      </text>
    </comment>
  </commentList>
</comments>
</file>

<file path=xl/sharedStrings.xml><?xml version="1.0" encoding="utf-8"?>
<sst xmlns="http://schemas.openxmlformats.org/spreadsheetml/2006/main" count="214" uniqueCount="136">
  <si>
    <t>Доходы</t>
  </si>
  <si>
    <t>Прочие доходы:</t>
  </si>
  <si>
    <t>Коммерческие расходы</t>
  </si>
  <si>
    <t>ОПЕРАЦИОННЫЕ РАСХОДЫ</t>
  </si>
  <si>
    <t>СЕБЕСТОИМОСТЬ</t>
  </si>
  <si>
    <t>Расходы на оплату труда</t>
  </si>
  <si>
    <t>Заработная плата производственного персонала</t>
  </si>
  <si>
    <t>Премии и надбавки производственного персонала</t>
  </si>
  <si>
    <t>Расходы на ЕСН (по производственному персоналу)</t>
  </si>
  <si>
    <t>Расходы на производственный персонал - итого</t>
  </si>
  <si>
    <t>Заработная плата коммерческого персонала</t>
  </si>
  <si>
    <t>Премии и надбавки коммерческого персонала</t>
  </si>
  <si>
    <t>Расходы на ЕСН (по коммерческому персоналу)</t>
  </si>
  <si>
    <t>Расходы на коммерческий персонал - итого</t>
  </si>
  <si>
    <t>Заработная плата административного персонала</t>
  </si>
  <si>
    <t>Премии и надбавки административного персонала</t>
  </si>
  <si>
    <t>Расходы на ЕСН (по административному персоналу)</t>
  </si>
  <si>
    <t>Расходы на административный персонал - итого</t>
  </si>
  <si>
    <t>Общие административные расходы</t>
  </si>
  <si>
    <t>Расходы на аренду производственных помещений</t>
  </si>
  <si>
    <t>Расходы на аренду офисных помещений</t>
  </si>
  <si>
    <t>Расходы на аренду оборудования</t>
  </si>
  <si>
    <t>Прочие общие расходы</t>
  </si>
  <si>
    <t>Прочие административные расходы</t>
  </si>
  <si>
    <t>Расходы на э\энергию</t>
  </si>
  <si>
    <t>Расходы на аренду</t>
  </si>
  <si>
    <t>Итого  себестоимость</t>
  </si>
  <si>
    <t>ОПЕРАЦИОННАЯ ПРИБЫЛЬ</t>
  </si>
  <si>
    <t>ВАЛОВАЯ ПРИБЫЛЬ\(УБЫТОК)</t>
  </si>
  <si>
    <t>Маржа валовой прибыли %</t>
  </si>
  <si>
    <t>ДОХОДЫ</t>
  </si>
  <si>
    <t>Маржа опреационной прибыли %</t>
  </si>
  <si>
    <t>Амортизация</t>
  </si>
  <si>
    <t>Расходы на проценты</t>
  </si>
  <si>
    <t>Прочие внереализационные доходы</t>
  </si>
  <si>
    <t>Прочие внереализационные расходы</t>
  </si>
  <si>
    <t>Прибыль/(убыток) до налогообложения</t>
  </si>
  <si>
    <t>ЧИСТАЯ ПРИБЫЛЬ/(УБЫТОК), доступная акционерам</t>
  </si>
  <si>
    <t>Прочие доходы/(расходы) - итого</t>
  </si>
  <si>
    <t>Рентабельность чистой прибыли %</t>
  </si>
  <si>
    <t>Отчет о прибылях и убытках</t>
  </si>
  <si>
    <t>Производственный персонал</t>
  </si>
  <si>
    <t>Расходы на персонал</t>
  </si>
  <si>
    <t>Страховые взносы (по производственному персоналу)</t>
  </si>
  <si>
    <t>Страховые взносы  (по коммерческому персоналу)</t>
  </si>
  <si>
    <t>Страховые взносы  (по административному персоналу)</t>
  </si>
  <si>
    <t>Коммерческий персонал</t>
  </si>
  <si>
    <t>Административный персонал</t>
  </si>
  <si>
    <t>Количество обрабатываемых автомобилей за период</t>
  </si>
  <si>
    <t>ИТОГО ДОХОДЫ</t>
  </si>
  <si>
    <t>Аренда</t>
  </si>
  <si>
    <t>Стоимость 1 кв. метра бокса</t>
  </si>
  <si>
    <t>Итого с\с расходных материалов</t>
  </si>
  <si>
    <t>менеджер по работе с клиентами 5% с оборота</t>
  </si>
  <si>
    <t>налоги 6% с оборота на упрощенной системе налогообложения</t>
  </si>
  <si>
    <t>Расходы на развитие и прочие расходы 3% от оборота</t>
  </si>
  <si>
    <t>Бухгалтерское обслуживание организации</t>
  </si>
  <si>
    <t>Налог</t>
  </si>
  <si>
    <t>1-ый год</t>
  </si>
  <si>
    <t>2-ой год</t>
  </si>
  <si>
    <t>Электроэнергия</t>
  </si>
  <si>
    <t>Постоянные расходы</t>
  </si>
  <si>
    <t>Операционная прибыль</t>
  </si>
  <si>
    <t>Постоянные+переменные расходы</t>
  </si>
  <si>
    <t>1Q</t>
  </si>
  <si>
    <t>2Q</t>
  </si>
  <si>
    <t>3Q</t>
  </si>
  <si>
    <t>4Q</t>
  </si>
  <si>
    <t xml:space="preserve">ДОХОДЫ </t>
  </si>
  <si>
    <t xml:space="preserve">Основные финансовые показатели </t>
  </si>
  <si>
    <t>Отчет о прибыли и убытках (рубли)</t>
  </si>
  <si>
    <t>Расчет точки безубыточности</t>
  </si>
  <si>
    <t>Отчет о движении денежных средств</t>
  </si>
  <si>
    <t>Расходы</t>
  </si>
  <si>
    <t>Операционный поток денежных средств</t>
  </si>
  <si>
    <t>Инвестиционный поток денежных средств</t>
  </si>
  <si>
    <t>Свободный поток денежных средств</t>
  </si>
  <si>
    <t>Свободный поток денежных средств, накопительно</t>
  </si>
  <si>
    <t>Дисконтированный поток денежных средств</t>
  </si>
  <si>
    <t>Дисконтированный поток денежных средств, накопительно</t>
  </si>
  <si>
    <t>Расчет окупаемости и эффективности проекта</t>
  </si>
  <si>
    <t>Период окупаемости, мес.</t>
  </si>
  <si>
    <t>Дисконтированный период окупаемости, мес.</t>
  </si>
  <si>
    <t>Внутренняя норма рентабельности, %</t>
  </si>
  <si>
    <t>Окупаемость проекта</t>
  </si>
  <si>
    <t>Ставка дисконтирования, %</t>
  </si>
  <si>
    <t>IRR проекта, %</t>
  </si>
  <si>
    <t>Период окупаемости, (мес)</t>
  </si>
  <si>
    <t>Год</t>
  </si>
  <si>
    <t>Начало проекта, год:</t>
  </si>
  <si>
    <t>NPV проекта,  руб.</t>
  </si>
  <si>
    <t>Дисконт. период окупаемости, мес</t>
  </si>
  <si>
    <t>Инвестиции, руб.</t>
  </si>
  <si>
    <r>
      <rPr>
        <sz val="11"/>
        <color indexed="60"/>
        <rFont val="Calibri"/>
        <family val="2"/>
        <charset val="204"/>
      </rPr>
      <t>IRR (Internal Rate of Return, IRR)</t>
    </r>
    <r>
      <rPr>
        <sz val="11"/>
        <color theme="1"/>
        <rFont val="Calibri"/>
        <family val="2"/>
        <charset val="204"/>
        <scheme val="minor"/>
      </rPr>
      <t xml:space="preserve"> определяет максимальную стоимость привлекаемого капитала, при которой инвестиционный проект остается выгодным. В другой формулировке, это средний доход на вложенный капитал, обеспечиваемый данным инвестиционным проектом, т.е. </t>
    </r>
    <r>
      <rPr>
        <sz val="11"/>
        <color indexed="60"/>
        <rFont val="Calibri"/>
        <family val="2"/>
        <charset val="204"/>
      </rPr>
      <t xml:space="preserve">эффективность вложений капитала в данный проект равна эффективности инвестирования под IRR процентов в какой-либо финансовый инструмент с равномерным доходом. 
</t>
    </r>
    <r>
      <rPr>
        <sz val="11"/>
        <color theme="1"/>
        <rFont val="Calibri"/>
        <family val="2"/>
        <charset val="204"/>
        <scheme val="minor"/>
      </rPr>
      <t xml:space="preserve">
IRR рассчитывается как значение ставки дисконтирования, при которой NPV=0. Как правило, значения IRR находят либо графическими методами (построив график зависимости NPV от ставки дисконтирования), либо с помощью специализированных программ. В MS Excel для расчета IRR используется функция =ВНДОХ(). 
</t>
    </r>
  </si>
  <si>
    <r>
      <rPr>
        <sz val="11"/>
        <color indexed="60"/>
        <rFont val="Calibri"/>
        <family val="2"/>
        <charset val="204"/>
      </rPr>
      <t xml:space="preserve">Чистая приведенная стоимость (NPV) </t>
    </r>
    <r>
      <rPr>
        <sz val="11"/>
        <color theme="1"/>
        <rFont val="Calibri"/>
        <family val="2"/>
        <charset val="204"/>
        <scheme val="minor"/>
      </rPr>
      <t xml:space="preserve">
Текущая стоимость будущих денежных потоков инвестиционного проекта, рассчитанная с учетом дисконтирования, за вычетом инвестиций. 
При положительном значении NPV считается, что данное вложение капитала является эффективным. 
Понятие чистой приведенной стоимости (Net Present Value, NPV) широко используется в инвестиционном анализе для оценки различных видов капиталовложений. Представленная выше формула верна только для простого случая структуры денежных потоков, когда все инвестиции приходятся на начало проекта. В более сложных случаях для анализа может потребоваться усложнить формулу, чтобы учесть распределение инвестиций во времени. Чаще всего, для этого инвестиции приводят к началу проекта аналогично доходам. 
В MS Excel для расчета NPV используется функция =НПЗ(). 
</t>
    </r>
  </si>
  <si>
    <t>Результаты анализа окупаемости</t>
  </si>
  <si>
    <t>менеджер по работе с клиентами ~5% с оборота</t>
  </si>
  <si>
    <t>Регион: г. Новосибирск  ~350 руб. за м.кв.</t>
  </si>
  <si>
    <t>Стоимость обработки одного изделия</t>
  </si>
  <si>
    <t>1-й месяц</t>
  </si>
  <si>
    <t>2-й месяц</t>
  </si>
  <si>
    <t>Доход от Покрытия Зеркальным слоем в месяц</t>
  </si>
  <si>
    <t>3-й месяц</t>
  </si>
  <si>
    <t>4-й месяц</t>
  </si>
  <si>
    <t>5-й месяц</t>
  </si>
  <si>
    <t>6-й месяц</t>
  </si>
  <si>
    <t>7-й месяц</t>
  </si>
  <si>
    <t>8-й месяц</t>
  </si>
  <si>
    <t>9-й месяц</t>
  </si>
  <si>
    <t>10-й месяц</t>
  </si>
  <si>
    <t>11-й месяц</t>
  </si>
  <si>
    <t>12-й месяц</t>
  </si>
  <si>
    <t>1-й год</t>
  </si>
  <si>
    <t>Покрытие изделий зеркальным слоем</t>
  </si>
  <si>
    <t>Расходные материалы (Зеркальное покрытие)</t>
  </si>
  <si>
    <t>Стоимость расходных материалов на обработку одного изделия</t>
  </si>
  <si>
    <t>количество обрабатываемых изделий в месяц</t>
  </si>
  <si>
    <t>количество обрабатываемых изделий в день</t>
  </si>
  <si>
    <t>работы Подготовка ~7% от стоимости услуги</t>
  </si>
  <si>
    <t>работы маляра ~10% от стоимости услуги</t>
  </si>
  <si>
    <t>Директор</t>
  </si>
  <si>
    <t>Зеркальное покрытие</t>
  </si>
  <si>
    <t>Количество обрабатываемых изделий в месяц</t>
  </si>
  <si>
    <t>Стоимость расходных материалов на обработку одной детали</t>
  </si>
  <si>
    <t>Работы - 17% от стоимости услуги</t>
  </si>
  <si>
    <t>Э/энергия</t>
  </si>
  <si>
    <t>Нанесение Зеркального покрытия</t>
  </si>
  <si>
    <t>Доход от нанесения Зеркального покрытия</t>
  </si>
  <si>
    <t>Откл. 1-ый год</t>
  </si>
  <si>
    <t>2-й год</t>
  </si>
  <si>
    <t>-</t>
  </si>
  <si>
    <t>Компания выходит на безубыточность при нанесении Зеркального покрытия 110 деталей в месяц</t>
  </si>
  <si>
    <t>Финансовый план Розничной производственной точки "Зеркальное покрытие"</t>
  </si>
  <si>
    <t>Площадь помещения м\кв</t>
  </si>
  <si>
    <t>Зависимость операционной прибыли от количества обрабатываемых Изделий</t>
  </si>
  <si>
    <t>Рассчет проведен на основе статисики работающих производств. Все затратные составляющие были увеличены до наивысших показателей, а рассчет дохода по минимальным показателям и объемам. Объем инвестиций учитывает не только покупку технологии, но и полное достаточное оборудование одной розничной точки!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</si>
</sst>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* #,##0_р_._-;\-* #,##0_р_._-;_-* &quot;-&quot;??_р_._-;_-@_-"/>
    <numFmt numFmtId="165" formatCode="0.0%"/>
    <numFmt numFmtId="166" formatCode="#,##0;\(#,##0\);&quot;-&quot;;@"/>
    <numFmt numFmtId="167" formatCode="#,##0.00;\(#,##0.00\);&quot;-&quot;;@"/>
    <numFmt numFmtId="168" formatCode="#,##0;\(#,##0\);\-"/>
    <numFmt numFmtId="169" formatCode="#,##0.00%;\(#,##0.00%\);&quot;-&quot;;@"/>
    <numFmt numFmtId="170" formatCode="#,##0.0%;\(#,##0.0%\);&quot;-&quot;;@"/>
  </numFmts>
  <fonts count="6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b/>
      <sz val="8"/>
      <name val="Arial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9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u/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9"/>
      <color indexed="9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u/>
      <sz val="16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u/>
      <sz val="11"/>
      <color indexed="9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b/>
      <u/>
      <sz val="8"/>
      <color indexed="8"/>
      <name val="Calibri"/>
      <family val="2"/>
      <charset val="204"/>
    </font>
    <font>
      <u/>
      <sz val="10"/>
      <color indexed="8"/>
      <name val="Calibri"/>
      <family val="2"/>
      <charset val="204"/>
    </font>
    <font>
      <u/>
      <sz val="11"/>
      <color indexed="12"/>
      <name val="Times New Roman"/>
      <family val="1"/>
      <charset val="204"/>
    </font>
    <font>
      <sz val="10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</font>
    <font>
      <sz val="8"/>
      <color theme="0"/>
      <name val="Calibri"/>
      <family val="2"/>
      <charset val="204"/>
      <scheme val="minor"/>
    </font>
    <font>
      <b/>
      <u/>
      <sz val="8"/>
      <color theme="1"/>
      <name val="Calibri"/>
      <family val="2"/>
      <charset val="204"/>
      <scheme val="minor"/>
    </font>
    <font>
      <i/>
      <sz val="8"/>
      <color rgb="FFC00000"/>
      <name val="Calibri"/>
      <family val="2"/>
      <charset val="204"/>
    </font>
    <font>
      <i/>
      <sz val="8"/>
      <color rgb="FFC0000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u/>
      <sz val="11"/>
      <color rgb="FFC0000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8"/>
      <color rgb="FF002060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9"/>
      <color theme="0"/>
      <name val="Calibri"/>
      <family val="2"/>
      <charset val="204"/>
    </font>
    <font>
      <b/>
      <sz val="9"/>
      <color theme="0"/>
      <name val="Calibri"/>
      <family val="2"/>
      <charset val="204"/>
    </font>
    <font>
      <sz val="8"/>
      <color theme="0"/>
      <name val="Calibri"/>
      <family val="2"/>
      <charset val="204"/>
    </font>
    <font>
      <b/>
      <sz val="9"/>
      <color theme="0"/>
      <name val="Arial"/>
      <family val="2"/>
      <charset val="204"/>
    </font>
    <font>
      <sz val="10"/>
      <color theme="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3" fontId="31" fillId="0" borderId="0"/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16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8" fillId="2" borderId="0" xfId="0" applyFont="1" applyFill="1"/>
    <xf numFmtId="164" fontId="6" fillId="2" borderId="0" xfId="4" applyNumberFormat="1" applyFont="1" applyFill="1"/>
    <xf numFmtId="0" fontId="9" fillId="2" borderId="0" xfId="0" applyFont="1" applyFill="1"/>
    <xf numFmtId="164" fontId="9" fillId="2" borderId="0" xfId="4" applyNumberFormat="1" applyFont="1" applyFill="1"/>
    <xf numFmtId="164" fontId="8" fillId="2" borderId="0" xfId="4" applyNumberFormat="1" applyFont="1" applyFill="1"/>
    <xf numFmtId="164" fontId="6" fillId="3" borderId="0" xfId="4" applyNumberFormat="1" applyFont="1" applyFill="1"/>
    <xf numFmtId="0" fontId="10" fillId="2" borderId="0" xfId="0" applyFont="1" applyFill="1"/>
    <xf numFmtId="17" fontId="10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164" fontId="11" fillId="2" borderId="0" xfId="4" applyNumberFormat="1" applyFont="1" applyFill="1"/>
    <xf numFmtId="0" fontId="13" fillId="2" borderId="0" xfId="0" applyFont="1" applyFill="1" applyBorder="1" applyAlignment="1">
      <alignment horizontal="left" indent="4"/>
    </xf>
    <xf numFmtId="0" fontId="14" fillId="2" borderId="0" xfId="0" applyFont="1" applyFill="1" applyBorder="1" applyAlignment="1">
      <alignment horizontal="left" indent="3"/>
    </xf>
    <xf numFmtId="0" fontId="15" fillId="4" borderId="0" xfId="0" applyFont="1" applyFill="1"/>
    <xf numFmtId="17" fontId="15" fillId="4" borderId="0" xfId="0" applyNumberFormat="1" applyFont="1" applyFill="1"/>
    <xf numFmtId="0" fontId="16" fillId="2" borderId="0" xfId="0" applyFont="1" applyFill="1"/>
    <xf numFmtId="10" fontId="16" fillId="2" borderId="0" xfId="4" applyNumberFormat="1" applyFont="1" applyFill="1"/>
    <xf numFmtId="0" fontId="5" fillId="2" borderId="0" xfId="0" applyFont="1" applyFill="1" applyBorder="1"/>
    <xf numFmtId="164" fontId="6" fillId="2" borderId="0" xfId="0" applyNumberFormat="1" applyFont="1" applyFill="1"/>
    <xf numFmtId="17" fontId="7" fillId="4" borderId="0" xfId="0" applyNumberFormat="1" applyFont="1" applyFill="1" applyAlignment="1">
      <alignment horizontal="center"/>
    </xf>
    <xf numFmtId="164" fontId="8" fillId="3" borderId="0" xfId="4" applyNumberFormat="1" applyFont="1" applyFill="1"/>
    <xf numFmtId="10" fontId="17" fillId="2" borderId="0" xfId="4" applyNumberFormat="1" applyFont="1" applyFill="1"/>
    <xf numFmtId="0" fontId="14" fillId="2" borderId="0" xfId="0" applyFont="1" applyFill="1" applyBorder="1" applyAlignment="1">
      <alignment horizontal="left" indent="4"/>
    </xf>
    <xf numFmtId="164" fontId="8" fillId="2" borderId="0" xfId="0" applyNumberFormat="1" applyFont="1" applyFill="1"/>
    <xf numFmtId="17" fontId="15" fillId="2" borderId="0" xfId="0" applyNumberFormat="1" applyFont="1" applyFill="1"/>
    <xf numFmtId="0" fontId="18" fillId="2" borderId="0" xfId="0" applyFont="1" applyFill="1"/>
    <xf numFmtId="0" fontId="4" fillId="2" borderId="0" xfId="0" applyFont="1" applyFill="1"/>
    <xf numFmtId="0" fontId="19" fillId="2" borderId="0" xfId="0" applyFont="1" applyFill="1" applyBorder="1" applyAlignment="1">
      <alignment horizontal="left" indent="4"/>
    </xf>
    <xf numFmtId="0" fontId="20" fillId="2" borderId="0" xfId="0" applyFont="1" applyFill="1" applyBorder="1" applyAlignment="1">
      <alignment horizontal="left" indent="3"/>
    </xf>
    <xf numFmtId="164" fontId="11" fillId="2" borderId="0" xfId="0" applyNumberFormat="1" applyFont="1" applyFill="1"/>
    <xf numFmtId="0" fontId="12" fillId="5" borderId="0" xfId="0" applyFont="1" applyFill="1"/>
    <xf numFmtId="0" fontId="12" fillId="2" borderId="1" xfId="0" applyFont="1" applyFill="1" applyBorder="1"/>
    <xf numFmtId="0" fontId="10" fillId="2" borderId="1" xfId="0" applyFont="1" applyFill="1" applyBorder="1"/>
    <xf numFmtId="0" fontId="21" fillId="4" borderId="0" xfId="0" applyFont="1" applyFill="1"/>
    <xf numFmtId="0" fontId="11" fillId="2" borderId="1" xfId="0" applyFont="1" applyFill="1" applyBorder="1"/>
    <xf numFmtId="0" fontId="10" fillId="3" borderId="0" xfId="0" applyFont="1" applyFill="1"/>
    <xf numFmtId="17" fontId="10" fillId="3" borderId="0" xfId="0" applyNumberFormat="1" applyFont="1" applyFill="1"/>
    <xf numFmtId="0" fontId="12" fillId="3" borderId="0" xfId="0" applyFont="1" applyFill="1"/>
    <xf numFmtId="164" fontId="12" fillId="3" borderId="0" xfId="0" applyNumberFormat="1" applyFont="1" applyFill="1"/>
    <xf numFmtId="0" fontId="0" fillId="6" borderId="0" xfId="0" applyFill="1"/>
    <xf numFmtId="164" fontId="10" fillId="7" borderId="0" xfId="4" applyNumberFormat="1" applyFont="1" applyFill="1"/>
    <xf numFmtId="164" fontId="8" fillId="7" borderId="0" xfId="4" applyNumberFormat="1" applyFont="1" applyFill="1"/>
    <xf numFmtId="164" fontId="6" fillId="8" borderId="0" xfId="4" applyNumberFormat="1" applyFont="1" applyFill="1"/>
    <xf numFmtId="164" fontId="6" fillId="9" borderId="0" xfId="4" applyNumberFormat="1" applyFont="1" applyFill="1"/>
    <xf numFmtId="17" fontId="11" fillId="3" borderId="0" xfId="0" applyNumberFormat="1" applyFont="1" applyFill="1"/>
    <xf numFmtId="0" fontId="6" fillId="9" borderId="0" xfId="0" applyFont="1" applyFill="1"/>
    <xf numFmtId="0" fontId="13" fillId="9" borderId="0" xfId="0" applyFont="1" applyFill="1" applyBorder="1" applyAlignment="1">
      <alignment horizontal="left" indent="4"/>
    </xf>
    <xf numFmtId="0" fontId="14" fillId="9" borderId="0" xfId="0" applyFont="1" applyFill="1" applyBorder="1" applyAlignment="1">
      <alignment horizontal="left" indent="3"/>
    </xf>
    <xf numFmtId="0" fontId="10" fillId="9" borderId="0" xfId="0" applyFont="1" applyFill="1"/>
    <xf numFmtId="0" fontId="13" fillId="8" borderId="0" xfId="0" applyFont="1" applyFill="1" applyBorder="1" applyAlignment="1">
      <alignment horizontal="left" indent="4"/>
    </xf>
    <xf numFmtId="0" fontId="14" fillId="8" borderId="0" xfId="0" applyFont="1" applyFill="1" applyBorder="1" applyAlignment="1">
      <alignment horizontal="left" indent="3"/>
    </xf>
    <xf numFmtId="164" fontId="11" fillId="8" borderId="0" xfId="4" applyNumberFormat="1" applyFont="1" applyFill="1"/>
    <xf numFmtId="10" fontId="6" fillId="2" borderId="0" xfId="0" applyNumberFormat="1" applyFont="1" applyFill="1"/>
    <xf numFmtId="0" fontId="8" fillId="10" borderId="0" xfId="0" applyFont="1" applyFill="1"/>
    <xf numFmtId="164" fontId="8" fillId="10" borderId="0" xfId="4" applyNumberFormat="1" applyFont="1" applyFill="1"/>
    <xf numFmtId="9" fontId="11" fillId="10" borderId="0" xfId="0" applyNumberFormat="1" applyFont="1" applyFill="1"/>
    <xf numFmtId="164" fontId="10" fillId="3" borderId="0" xfId="0" applyNumberFormat="1" applyFont="1" applyFill="1"/>
    <xf numFmtId="0" fontId="0" fillId="8" borderId="0" xfId="0" applyFill="1"/>
    <xf numFmtId="0" fontId="10" fillId="8" borderId="0" xfId="0" applyFont="1" applyFill="1"/>
    <xf numFmtId="0" fontId="12" fillId="8" borderId="0" xfId="0" applyFont="1" applyFill="1"/>
    <xf numFmtId="17" fontId="10" fillId="8" borderId="0" xfId="0" applyNumberFormat="1" applyFont="1" applyFill="1"/>
    <xf numFmtId="0" fontId="11" fillId="11" borderId="0" xfId="0" applyFont="1" applyFill="1"/>
    <xf numFmtId="164" fontId="11" fillId="11" borderId="0" xfId="4" applyNumberFormat="1" applyFont="1" applyFill="1"/>
    <xf numFmtId="164" fontId="0" fillId="8" borderId="0" xfId="0" applyNumberFormat="1" applyFill="1"/>
    <xf numFmtId="0" fontId="14" fillId="7" borderId="0" xfId="0" applyFont="1" applyFill="1" applyBorder="1" applyAlignment="1">
      <alignment horizontal="left" indent="3"/>
    </xf>
    <xf numFmtId="164" fontId="11" fillId="7" borderId="0" xfId="4" applyNumberFormat="1" applyFont="1" applyFill="1"/>
    <xf numFmtId="0" fontId="38" fillId="12" borderId="0" xfId="0" applyFont="1" applyFill="1"/>
    <xf numFmtId="164" fontId="38" fillId="12" borderId="0" xfId="4" applyNumberFormat="1" applyFont="1" applyFill="1"/>
    <xf numFmtId="164" fontId="36" fillId="2" borderId="0" xfId="4" applyNumberFormat="1" applyFont="1" applyFill="1"/>
    <xf numFmtId="164" fontId="39" fillId="2" borderId="0" xfId="4" applyNumberFormat="1" applyFont="1" applyFill="1"/>
    <xf numFmtId="0" fontId="24" fillId="2" borderId="0" xfId="0" applyFont="1" applyFill="1" applyBorder="1" applyAlignment="1">
      <alignment horizontal="left" indent="3"/>
    </xf>
    <xf numFmtId="0" fontId="25" fillId="2" borderId="0" xfId="0" applyFont="1" applyFill="1"/>
    <xf numFmtId="0" fontId="22" fillId="2" borderId="0" xfId="0" applyFont="1" applyFill="1" applyBorder="1" applyAlignment="1">
      <alignment horizontal="left" indent="4"/>
    </xf>
    <xf numFmtId="0" fontId="40" fillId="13" borderId="0" xfId="0" applyFont="1" applyFill="1"/>
    <xf numFmtId="164" fontId="41" fillId="13" borderId="0" xfId="4" applyNumberFormat="1" applyFont="1" applyFill="1"/>
    <xf numFmtId="164" fontId="42" fillId="2" borderId="0" xfId="4" applyNumberFormat="1" applyFont="1" applyFill="1"/>
    <xf numFmtId="0" fontId="43" fillId="2" borderId="0" xfId="0" applyFont="1" applyFill="1"/>
    <xf numFmtId="165" fontId="44" fillId="2" borderId="0" xfId="4" applyNumberFormat="1" applyFont="1" applyFill="1"/>
    <xf numFmtId="10" fontId="44" fillId="2" borderId="0" xfId="4" applyNumberFormat="1" applyFont="1" applyFill="1"/>
    <xf numFmtId="0" fontId="45" fillId="12" borderId="0" xfId="0" applyFont="1" applyFill="1"/>
    <xf numFmtId="0" fontId="46" fillId="2" borderId="0" xfId="0" applyFont="1" applyFill="1"/>
    <xf numFmtId="0" fontId="47" fillId="2" borderId="0" xfId="0" applyFont="1" applyFill="1"/>
    <xf numFmtId="0" fontId="23" fillId="2" borderId="0" xfId="0" applyFont="1" applyFill="1"/>
    <xf numFmtId="166" fontId="48" fillId="0" borderId="0" xfId="0" applyNumberFormat="1" applyFont="1" applyFill="1" applyBorder="1" applyAlignment="1">
      <alignment horizontal="left" vertical="center" indent="1"/>
    </xf>
    <xf numFmtId="0" fontId="31" fillId="8" borderId="0" xfId="0" applyFont="1" applyFill="1" applyBorder="1" applyAlignment="1">
      <alignment vertical="center"/>
    </xf>
    <xf numFmtId="0" fontId="49" fillId="8" borderId="0" xfId="0" applyFont="1" applyFill="1"/>
    <xf numFmtId="0" fontId="32" fillId="8" borderId="0" xfId="2" applyFont="1" applyFill="1" applyBorder="1" applyAlignment="1" applyProtection="1">
      <alignment vertical="center"/>
    </xf>
    <xf numFmtId="0" fontId="50" fillId="8" borderId="0" xfId="0" applyFont="1" applyFill="1"/>
    <xf numFmtId="168" fontId="33" fillId="8" borderId="0" xfId="1" applyNumberFormat="1" applyFont="1" applyFill="1" applyBorder="1" applyAlignment="1">
      <alignment horizontal="left" vertical="center"/>
    </xf>
    <xf numFmtId="166" fontId="33" fillId="8" borderId="0" xfId="1" applyNumberFormat="1" applyFont="1" applyFill="1" applyBorder="1" applyAlignment="1">
      <alignment vertical="center"/>
    </xf>
    <xf numFmtId="3" fontId="33" fillId="8" borderId="0" xfId="0" applyNumberFormat="1" applyFont="1" applyFill="1" applyBorder="1" applyAlignment="1">
      <alignment vertical="center"/>
    </xf>
    <xf numFmtId="168" fontId="32" fillId="8" borderId="0" xfId="1" applyNumberFormat="1" applyFont="1" applyFill="1" applyBorder="1" applyAlignment="1">
      <alignment horizontal="left" vertical="center"/>
    </xf>
    <xf numFmtId="0" fontId="51" fillId="8" borderId="0" xfId="0" applyFont="1" applyFill="1"/>
    <xf numFmtId="0" fontId="52" fillId="6" borderId="0" xfId="0" applyFont="1" applyFill="1"/>
    <xf numFmtId="0" fontId="53" fillId="12" borderId="0" xfId="2" applyFont="1" applyFill="1" applyBorder="1" applyAlignment="1" applyProtection="1">
      <alignment vertical="center"/>
    </xf>
    <xf numFmtId="167" fontId="54" fillId="12" borderId="0" xfId="0" applyNumberFormat="1" applyFont="1" applyFill="1" applyBorder="1" applyAlignment="1">
      <alignment vertical="center"/>
    </xf>
    <xf numFmtId="169" fontId="54" fillId="12" borderId="0" xfId="3" applyNumberFormat="1" applyFont="1" applyFill="1" applyBorder="1" applyAlignment="1" applyProtection="1">
      <alignment vertical="center"/>
      <protection locked="0"/>
    </xf>
    <xf numFmtId="166" fontId="5" fillId="0" borderId="0" xfId="0" applyNumberFormat="1" applyFont="1" applyBorder="1" applyAlignment="1">
      <alignment horizontal="left" vertical="center"/>
    </xf>
    <xf numFmtId="0" fontId="13" fillId="2" borderId="0" xfId="0" applyFont="1" applyFill="1"/>
    <xf numFmtId="166" fontId="35" fillId="0" borderId="0" xfId="0" applyNumberFormat="1" applyFont="1" applyFill="1" applyBorder="1" applyAlignment="1">
      <alignment horizontal="left" vertical="center" indent="2"/>
    </xf>
    <xf numFmtId="166" fontId="35" fillId="0" borderId="0" xfId="0" applyNumberFormat="1" applyFont="1" applyFill="1" applyBorder="1" applyAlignment="1">
      <alignment horizontal="left" vertical="center" indent="1"/>
    </xf>
    <xf numFmtId="166" fontId="35" fillId="0" borderId="0" xfId="0" applyNumberFormat="1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horizontal="left" vertical="center"/>
    </xf>
    <xf numFmtId="0" fontId="22" fillId="2" borderId="0" xfId="0" applyFont="1" applyFill="1"/>
    <xf numFmtId="166" fontId="5" fillId="0" borderId="0" xfId="2" applyNumberFormat="1" applyFont="1" applyFill="1" applyBorder="1" applyAlignment="1" applyProtection="1">
      <alignment horizontal="right" vertical="center" indent="1"/>
    </xf>
    <xf numFmtId="1" fontId="35" fillId="14" borderId="0" xfId="2" applyNumberFormat="1" applyFont="1" applyFill="1" applyBorder="1" applyAlignment="1" applyProtection="1">
      <alignment horizontal="right" vertical="center"/>
    </xf>
    <xf numFmtId="167" fontId="35" fillId="15" borderId="0" xfId="4" applyNumberFormat="1" applyFont="1" applyFill="1" applyBorder="1" applyAlignment="1">
      <alignment vertical="center"/>
    </xf>
    <xf numFmtId="167" fontId="35" fillId="0" borderId="0" xfId="4" applyNumberFormat="1" applyFont="1" applyFill="1" applyBorder="1" applyAlignment="1">
      <alignment vertical="center"/>
    </xf>
    <xf numFmtId="167" fontId="5" fillId="15" borderId="0" xfId="4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vertical="center"/>
    </xf>
    <xf numFmtId="166" fontId="35" fillId="0" borderId="0" xfId="0" applyNumberFormat="1" applyFont="1" applyBorder="1" applyAlignment="1">
      <alignment horizontal="left" vertical="center"/>
    </xf>
    <xf numFmtId="0" fontId="22" fillId="8" borderId="0" xfId="0" applyFont="1" applyFill="1"/>
    <xf numFmtId="166" fontId="35" fillId="8" borderId="0" xfId="0" applyNumberFormat="1" applyFont="1" applyFill="1" applyBorder="1" applyAlignment="1">
      <alignment vertical="center"/>
    </xf>
    <xf numFmtId="167" fontId="35" fillId="8" borderId="0" xfId="4" applyNumberFormat="1" applyFont="1" applyFill="1" applyBorder="1" applyAlignment="1" applyProtection="1">
      <alignment horizontal="center" vertical="center"/>
      <protection locked="0"/>
    </xf>
    <xf numFmtId="166" fontId="35" fillId="8" borderId="0" xfId="4" applyNumberFormat="1" applyFont="1" applyFill="1" applyBorder="1" applyAlignment="1">
      <alignment horizontal="center" vertical="center"/>
    </xf>
    <xf numFmtId="166" fontId="35" fillId="8" borderId="0" xfId="0" applyNumberFormat="1" applyFont="1" applyFill="1" applyBorder="1" applyAlignment="1">
      <alignment horizontal="center" vertical="center"/>
    </xf>
    <xf numFmtId="166" fontId="5" fillId="8" borderId="0" xfId="0" applyNumberFormat="1" applyFont="1" applyFill="1" applyBorder="1" applyAlignment="1">
      <alignment horizontal="center" vertical="center"/>
    </xf>
    <xf numFmtId="1" fontId="5" fillId="8" borderId="0" xfId="5" applyNumberFormat="1" applyFont="1" applyFill="1" applyBorder="1" applyAlignment="1">
      <alignment horizontal="center" vertical="center"/>
    </xf>
    <xf numFmtId="166" fontId="35" fillId="8" borderId="0" xfId="0" applyNumberFormat="1" applyFont="1" applyFill="1" applyBorder="1" applyAlignment="1">
      <alignment horizontal="right" vertical="center" indent="1"/>
    </xf>
    <xf numFmtId="0" fontId="6" fillId="2" borderId="0" xfId="0" applyFont="1" applyFill="1" applyBorder="1"/>
    <xf numFmtId="0" fontId="8" fillId="2" borderId="0" xfId="0" applyFont="1" applyFill="1" applyBorder="1"/>
    <xf numFmtId="0" fontId="23" fillId="2" borderId="0" xfId="0" applyFont="1" applyFill="1" applyBorder="1"/>
    <xf numFmtId="0" fontId="55" fillId="12" borderId="0" xfId="0" applyFont="1" applyFill="1" applyBorder="1"/>
    <xf numFmtId="0" fontId="56" fillId="12" borderId="0" xfId="0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164" fontId="13" fillId="2" borderId="0" xfId="0" applyNumberFormat="1" applyFont="1" applyFill="1" applyBorder="1"/>
    <xf numFmtId="164" fontId="14" fillId="2" borderId="0" xfId="0" applyNumberFormat="1" applyFont="1" applyFill="1" applyBorder="1"/>
    <xf numFmtId="0" fontId="22" fillId="2" borderId="0" xfId="0" applyFont="1" applyFill="1" applyBorder="1"/>
    <xf numFmtId="164" fontId="22" fillId="2" borderId="0" xfId="0" applyNumberFormat="1" applyFont="1" applyFill="1" applyBorder="1"/>
    <xf numFmtId="0" fontId="24" fillId="2" borderId="0" xfId="0" applyFont="1" applyFill="1" applyBorder="1"/>
    <xf numFmtId="164" fontId="24" fillId="2" borderId="0" xfId="0" applyNumberFormat="1" applyFont="1" applyFill="1" applyBorder="1"/>
    <xf numFmtId="164" fontId="57" fillId="12" borderId="0" xfId="0" applyNumberFormat="1" applyFont="1" applyFill="1" applyBorder="1"/>
    <xf numFmtId="164" fontId="40" fillId="12" borderId="0" xfId="0" applyNumberFormat="1" applyFont="1" applyFill="1" applyBorder="1"/>
    <xf numFmtId="0" fontId="57" fillId="12" borderId="0" xfId="0" applyFont="1" applyFill="1" applyBorder="1"/>
    <xf numFmtId="0" fontId="30" fillId="2" borderId="0" xfId="0" applyFont="1" applyFill="1" applyBorder="1"/>
    <xf numFmtId="0" fontId="40" fillId="12" borderId="0" xfId="0" applyFont="1" applyFill="1" applyBorder="1"/>
    <xf numFmtId="167" fontId="22" fillId="2" borderId="0" xfId="0" applyNumberFormat="1" applyFont="1" applyFill="1" applyBorder="1"/>
    <xf numFmtId="0" fontId="22" fillId="8" borderId="0" xfId="0" applyFont="1" applyFill="1" applyBorder="1"/>
    <xf numFmtId="0" fontId="24" fillId="8" borderId="0" xfId="0" applyFont="1" applyFill="1" applyBorder="1"/>
    <xf numFmtId="164" fontId="22" fillId="8" borderId="0" xfId="0" applyNumberFormat="1" applyFont="1" applyFill="1" applyBorder="1"/>
    <xf numFmtId="164" fontId="24" fillId="8" borderId="0" xfId="0" applyNumberFormat="1" applyFont="1" applyFill="1" applyBorder="1"/>
    <xf numFmtId="0" fontId="50" fillId="8" borderId="0" xfId="0" applyFont="1" applyFill="1" applyBorder="1"/>
    <xf numFmtId="0" fontId="37" fillId="8" borderId="0" xfId="0" applyFont="1" applyFill="1"/>
    <xf numFmtId="170" fontId="33" fillId="8" borderId="0" xfId="3" applyNumberFormat="1" applyFont="1" applyFill="1" applyBorder="1" applyAlignment="1" applyProtection="1">
      <alignment horizontal="left" vertical="center"/>
      <protection locked="0"/>
    </xf>
    <xf numFmtId="169" fontId="33" fillId="8" borderId="0" xfId="3" applyNumberFormat="1" applyFont="1" applyFill="1" applyBorder="1" applyAlignment="1" applyProtection="1">
      <alignment horizontal="left" vertical="center"/>
      <protection locked="0"/>
    </xf>
    <xf numFmtId="166" fontId="33" fillId="8" borderId="0" xfId="1" applyNumberFormat="1" applyFont="1" applyFill="1" applyBorder="1" applyAlignment="1">
      <alignment horizontal="left" vertical="center"/>
    </xf>
    <xf numFmtId="167" fontId="33" fillId="8" borderId="0" xfId="1" applyNumberFormat="1" applyFont="1" applyFill="1" applyBorder="1" applyAlignment="1">
      <alignment horizontal="left" vertical="center"/>
    </xf>
    <xf numFmtId="164" fontId="58" fillId="12" borderId="0" xfId="4" applyNumberFormat="1" applyFont="1" applyFill="1" applyBorder="1" applyAlignment="1" applyProtection="1">
      <alignment horizontal="left" vertical="center"/>
    </xf>
    <xf numFmtId="0" fontId="59" fillId="12" borderId="0" xfId="0" applyFont="1" applyFill="1" applyAlignment="1">
      <alignment horizontal="center"/>
    </xf>
    <xf numFmtId="164" fontId="10" fillId="2" borderId="0" xfId="0" applyNumberFormat="1" applyFont="1" applyFill="1"/>
    <xf numFmtId="164" fontId="8" fillId="3" borderId="0" xfId="4" applyNumberFormat="1" applyFont="1" applyFill="1" applyAlignment="1">
      <alignment horizontal="center"/>
    </xf>
    <xf numFmtId="0" fontId="26" fillId="2" borderId="0" xfId="0" applyFont="1" applyFill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6">
    <cellStyle name="А-Персональный" xfId="1"/>
    <cellStyle name="Гиперссылка" xfId="2" builtinId="8"/>
    <cellStyle name="Обычный" xfId="0" builtinId="0"/>
    <cellStyle name="Процентный" xfId="3" builtinId="5"/>
    <cellStyle name="Финансовый" xfId="4" builtinId="3"/>
    <cellStyle name="Финансовый 3" xf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31369150779908"/>
          <c:y val="3.614457831325301E-2"/>
          <c:w val="0.77469670710571958"/>
          <c:h val="0.7751004016064259"/>
        </c:manualLayout>
      </c:layout>
      <c:lineChart>
        <c:grouping val="standard"/>
        <c:varyColors val="0"/>
        <c:ser>
          <c:idx val="0"/>
          <c:order val="0"/>
          <c:tx>
            <c:strRef>
              <c:f>'Расчет окупаемости'!$B$15</c:f>
              <c:strCache>
                <c:ptCount val="1"/>
                <c:pt idx="0">
                  <c:v>Постоянные расходы</c:v>
                </c:pt>
              </c:strCache>
            </c:strRef>
          </c:tx>
          <c:cat>
            <c:numRef>
              <c:f>'Расчет окупаемости'!$C$6:$H$6</c:f>
              <c:numCache>
                <c:formatCode>_-* #,##0_р_._-;\-* #,##0_р_._-;_-* "-"??_р_._-;_-@_-</c:formatCode>
                <c:ptCount val="6"/>
                <c:pt idx="0">
                  <c:v>40</c:v>
                </c:pt>
                <c:pt idx="1">
                  <c:v>80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160</c:v>
                </c:pt>
              </c:numCache>
            </c:numRef>
          </c:cat>
          <c:val>
            <c:numRef>
              <c:f>'Расчет окупаемости'!$C$15:$H$15</c:f>
              <c:numCache>
                <c:formatCode>_-* #,##0_р_._-;\-* #,##0_р_._-;_-* "-"??_р_._-;_-@_-</c:formatCode>
                <c:ptCount val="6"/>
                <c:pt idx="0">
                  <c:v>37500</c:v>
                </c:pt>
                <c:pt idx="1">
                  <c:v>49500</c:v>
                </c:pt>
                <c:pt idx="2">
                  <c:v>49500</c:v>
                </c:pt>
                <c:pt idx="3">
                  <c:v>61500</c:v>
                </c:pt>
                <c:pt idx="4">
                  <c:v>73500</c:v>
                </c:pt>
                <c:pt idx="5">
                  <c:v>73500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'Расчет окупаемости'!$B$8</c:f>
              <c:strCache>
                <c:ptCount val="1"/>
                <c:pt idx="0">
                  <c:v>Доход от нанесения Зеркального покрытия</c:v>
                </c:pt>
              </c:strCache>
            </c:strRef>
          </c:tx>
          <c:cat>
            <c:numRef>
              <c:f>'Расчет окупаемости'!$C$6:$H$6</c:f>
              <c:numCache>
                <c:formatCode>_-* #,##0_р_._-;\-* #,##0_р_._-;_-* "-"??_р_._-;_-@_-</c:formatCode>
                <c:ptCount val="6"/>
                <c:pt idx="0">
                  <c:v>40</c:v>
                </c:pt>
                <c:pt idx="1">
                  <c:v>80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160</c:v>
                </c:pt>
              </c:numCache>
            </c:numRef>
          </c:cat>
          <c:val>
            <c:numRef>
              <c:f>'Расчет окупаемости'!$C$8:$H$8</c:f>
              <c:numCache>
                <c:formatCode>_-* #,##0_р_._-;\-* #,##0_р_._-;_-* "-"??_р_._-;_-@_-</c:formatCode>
                <c:ptCount val="6"/>
                <c:pt idx="0">
                  <c:v>200000</c:v>
                </c:pt>
                <c:pt idx="1">
                  <c:v>400000</c:v>
                </c:pt>
                <c:pt idx="2">
                  <c:v>400000</c:v>
                </c:pt>
                <c:pt idx="3">
                  <c:v>600000</c:v>
                </c:pt>
                <c:pt idx="4">
                  <c:v>800000</c:v>
                </c:pt>
                <c:pt idx="5">
                  <c:v>800000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'Расчет окупаемости'!$B$16</c:f>
              <c:strCache>
                <c:ptCount val="1"/>
                <c:pt idx="0">
                  <c:v>Постоянные+переменные расходы</c:v>
                </c:pt>
              </c:strCache>
            </c:strRef>
          </c:tx>
          <c:cat>
            <c:numRef>
              <c:f>'Расчет окупаемости'!$C$6:$H$6</c:f>
              <c:numCache>
                <c:formatCode>_-* #,##0_р_._-;\-* #,##0_р_._-;_-* "-"??_р_._-;_-@_-</c:formatCode>
                <c:ptCount val="6"/>
                <c:pt idx="0">
                  <c:v>40</c:v>
                </c:pt>
                <c:pt idx="1">
                  <c:v>80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160</c:v>
                </c:pt>
              </c:numCache>
            </c:numRef>
          </c:cat>
          <c:val>
            <c:numRef>
              <c:f>'Расчет окупаемости'!$C$16:$H$16</c:f>
              <c:numCache>
                <c:formatCode>_-* #,##0_р_._-;\-* #,##0_р_._-;_-* "-"??_р_._-;_-@_-</c:formatCode>
                <c:ptCount val="6"/>
                <c:pt idx="0">
                  <c:v>109500</c:v>
                </c:pt>
                <c:pt idx="1">
                  <c:v>193500</c:v>
                </c:pt>
                <c:pt idx="2">
                  <c:v>193500</c:v>
                </c:pt>
                <c:pt idx="3">
                  <c:v>277500</c:v>
                </c:pt>
                <c:pt idx="4">
                  <c:v>361500</c:v>
                </c:pt>
                <c:pt idx="5">
                  <c:v>361500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37280"/>
        <c:axId val="142750464"/>
      </c:lineChart>
      <c:catAx>
        <c:axId val="14193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Кол-во изделий</a:t>
                </a:r>
              </a:p>
            </c:rich>
          </c:tx>
          <c:layout/>
          <c:overlay val="0"/>
        </c:title>
        <c:numFmt formatCode="_-* #,##0_р_._-;\-* #,##0_р_._-;_-* &quot;-&quot;??_р_._-;_-@_-" sourceLinked="1"/>
        <c:majorTickMark val="out"/>
        <c:minorTickMark val="none"/>
        <c:tickLblPos val="nextTo"/>
        <c:crossAx val="142750464"/>
        <c:crosses val="autoZero"/>
        <c:auto val="1"/>
        <c:lblAlgn val="ctr"/>
        <c:lblOffset val="100"/>
        <c:noMultiLvlLbl val="0"/>
      </c:catAx>
      <c:valAx>
        <c:axId val="1427504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Рубли</a:t>
                </a:r>
              </a:p>
            </c:rich>
          </c:tx>
          <c:layout/>
          <c:overlay val="0"/>
        </c:title>
        <c:numFmt formatCode="_-* #,##0_р_._-;\-* #,##0_р_._-;_-* &quot;-&quot;??_р_._-;_-@_-" sourceLinked="1"/>
        <c:majorTickMark val="out"/>
        <c:minorTickMark val="none"/>
        <c:tickLblPos val="nextTo"/>
        <c:crossAx val="1419372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177627060049045"/>
          <c:y val="2.8169370394965688E-2"/>
          <c:w val="0.52585597510883064"/>
          <c:h val="0.2132321411630775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Зависимость операционной прибыли от количества изделий</a:t>
            </a:r>
          </a:p>
        </c:rich>
      </c:tx>
      <c:layout>
        <c:manualLayout>
          <c:xMode val="edge"/>
          <c:yMode val="edge"/>
          <c:x val="0.1508966042457128"/>
          <c:y val="2.77779812407170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95004072766781"/>
          <c:y val="0.15313684747739892"/>
          <c:w val="0.75796651280658922"/>
          <c:h val="0.75379593175853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'Расчет окупаемости'!$B$17</c:f>
              <c:strCache>
                <c:ptCount val="1"/>
                <c:pt idx="0">
                  <c:v>Операционная прибыль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'Расчет окупаемости'!$C$6:$N$6</c:f>
              <c:numCache>
                <c:formatCode>_-* #,##0_р_._-;\-* #,##0_р_._-;_-* "-"??_р_._-;_-@_-</c:formatCode>
                <c:ptCount val="12"/>
                <c:pt idx="0">
                  <c:v>40</c:v>
                </c:pt>
                <c:pt idx="1">
                  <c:v>80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160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</c:numCache>
            </c:numRef>
          </c:xVal>
          <c:yVal>
            <c:numRef>
              <c:f>'Расчет окупаемости'!$C$17:$N$17</c:f>
              <c:numCache>
                <c:formatCode>_-* #,##0_р_._-;\-* #,##0_р_._-;_-* "-"??_р_._-;_-@_-</c:formatCode>
                <c:ptCount val="12"/>
                <c:pt idx="0">
                  <c:v>90500</c:v>
                </c:pt>
                <c:pt idx="1">
                  <c:v>206500</c:v>
                </c:pt>
                <c:pt idx="2">
                  <c:v>206500</c:v>
                </c:pt>
                <c:pt idx="3">
                  <c:v>322500</c:v>
                </c:pt>
                <c:pt idx="4">
                  <c:v>438500</c:v>
                </c:pt>
                <c:pt idx="5">
                  <c:v>438500</c:v>
                </c:pt>
                <c:pt idx="6">
                  <c:v>554500</c:v>
                </c:pt>
                <c:pt idx="7">
                  <c:v>554500</c:v>
                </c:pt>
                <c:pt idx="8">
                  <c:v>554500</c:v>
                </c:pt>
                <c:pt idx="9">
                  <c:v>554500</c:v>
                </c:pt>
                <c:pt idx="10">
                  <c:v>554500</c:v>
                </c:pt>
                <c:pt idx="11">
                  <c:v>554500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762368"/>
        <c:axId val="142764672"/>
      </c:scatterChart>
      <c:valAx>
        <c:axId val="14276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кол-во изделий</a:t>
                </a:r>
              </a:p>
            </c:rich>
          </c:tx>
          <c:overlay val="0"/>
        </c:title>
        <c:numFmt formatCode="_-* #,##0_р_._-;\-* #,##0_р_._-;_-* &quot;-&quot;??_р_.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42764672"/>
        <c:crosses val="autoZero"/>
        <c:crossBetween val="midCat"/>
      </c:valAx>
      <c:valAx>
        <c:axId val="142764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Операционная прибыль (рублей)</a:t>
                </a:r>
              </a:p>
            </c:rich>
          </c:tx>
          <c:overlay val="0"/>
        </c:title>
        <c:numFmt formatCode="_-* #,##0_р_._-;\-* #,##0_р_._-;_-* &quot;-&quot;??_р_._-;_-@_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427623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000" b="1" i="0" strike="noStrike">
                <a:solidFill>
                  <a:srgbClr val="003366"/>
                </a:solidFill>
                <a:latin typeface="Arial"/>
                <a:cs typeface="Arial"/>
              </a:rPr>
              <a:t>Дисконтированный денежный поток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000" b="1" i="0" strike="noStrike">
                <a:solidFill>
                  <a:srgbClr val="003366"/>
                </a:solidFill>
                <a:latin typeface="Arial"/>
                <a:cs typeface="Arial"/>
              </a:rPr>
              <a:t>(накопительно, тыс. руб.)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000" b="1" i="0" strike="noStrike">
                <a:solidFill>
                  <a:srgbClr val="003366"/>
                </a:solidFill>
                <a:latin typeface="Arial"/>
                <a:cs typeface="Arial"/>
              </a:rPr>
              <a:t>(Окупаемость проекта - в точке пересечения оси Х)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491513917175832"/>
          <c:y val="0.26264842254948678"/>
          <c:w val="0.83231500339443365"/>
          <c:h val="0.67852806583615088"/>
        </c:manualLayout>
      </c:layout>
      <c:lineChart>
        <c:grouping val="standard"/>
        <c:varyColors val="0"/>
        <c:ser>
          <c:idx val="0"/>
          <c:order val="0"/>
          <c:tx>
            <c:strRef>
              <c:f>PL!$C$87</c:f>
              <c:strCache>
                <c:ptCount val="1"/>
                <c:pt idx="0">
                  <c:v>Дисконтированный поток денежных средств, накопительно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strRef>
              <c:f>PL!$D$6:$O$6</c:f>
              <c:strCache>
                <c:ptCount val="12"/>
                <c:pt idx="0">
                  <c:v>1-й месяц</c:v>
                </c:pt>
                <c:pt idx="1">
                  <c:v>2-й месяц</c:v>
                </c:pt>
                <c:pt idx="2">
                  <c:v>3-й месяц</c:v>
                </c:pt>
                <c:pt idx="3">
                  <c:v>4-й месяц</c:v>
                </c:pt>
                <c:pt idx="4">
                  <c:v>5-й месяц</c:v>
                </c:pt>
                <c:pt idx="5">
                  <c:v>6-й месяц</c:v>
                </c:pt>
                <c:pt idx="6">
                  <c:v>7-й месяц</c:v>
                </c:pt>
                <c:pt idx="7">
                  <c:v>8-й месяц</c:v>
                </c:pt>
                <c:pt idx="8">
                  <c:v>9-й месяц</c:v>
                </c:pt>
                <c:pt idx="9">
                  <c:v>10-й месяц</c:v>
                </c:pt>
                <c:pt idx="10">
                  <c:v>11-й месяц</c:v>
                </c:pt>
                <c:pt idx="11">
                  <c:v>12-й месяц</c:v>
                </c:pt>
              </c:strCache>
            </c:strRef>
          </c:cat>
          <c:val>
            <c:numRef>
              <c:f>PL!$D$87:$O$87</c:f>
              <c:numCache>
                <c:formatCode>_-* #,##0_р_._-;\-* #,##0_р_._-;_-* "-"??_р_._-;_-@_-</c:formatCode>
                <c:ptCount val="12"/>
                <c:pt idx="0">
                  <c:v>-954300</c:v>
                </c:pt>
                <c:pt idx="1">
                  <c:v>-825011.20511418022</c:v>
                </c:pt>
                <c:pt idx="2">
                  <c:v>-696725.76779240288</c:v>
                </c:pt>
                <c:pt idx="3">
                  <c:v>-486790.29357367061</c:v>
                </c:pt>
                <c:pt idx="4">
                  <c:v>-183490.96438623348</c:v>
                </c:pt>
                <c:pt idx="5">
                  <c:v>117454.58250802063</c:v>
                </c:pt>
                <c:pt idx="6">
                  <c:v>496800.97899095831</c:v>
                </c:pt>
                <c:pt idx="7">
                  <c:v>873203.42293230456</c:v>
                </c:pt>
                <c:pt idx="8">
                  <c:v>1246684.761146073</c:v>
                </c:pt>
                <c:pt idx="9">
                  <c:v>1617267.663141479</c:v>
                </c:pt>
                <c:pt idx="10">
                  <c:v>1984974.6224989304</c:v>
                </c:pt>
                <c:pt idx="11">
                  <c:v>2349827.9582353393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76960"/>
        <c:axId val="142795136"/>
      </c:lineChart>
      <c:catAx>
        <c:axId val="142776960"/>
        <c:scaling>
          <c:orientation val="minMax"/>
          <c:max val="12"/>
          <c:min val="1"/>
        </c:scaling>
        <c:delete val="0"/>
        <c:axPos val="b"/>
        <c:numFmt formatCode="mmm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42795136"/>
        <c:crosses val="autoZero"/>
        <c:auto val="1"/>
        <c:lblAlgn val="ctr"/>
        <c:lblOffset val="100"/>
        <c:tickLblSkip val="1"/>
        <c:noMultiLvlLbl val="0"/>
      </c:catAx>
      <c:valAx>
        <c:axId val="1427951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_-* #,##0_р_._-;\-* #,##0_р_._-;_-* &quot;-&quot;??_р_.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42776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1" l="0.75000000000000477" r="0.75000000000000477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30</xdr:row>
      <xdr:rowOff>28575</xdr:rowOff>
    </xdr:from>
    <xdr:to>
      <xdr:col>7</xdr:col>
      <xdr:colOff>514350</xdr:colOff>
      <xdr:row>42</xdr:row>
      <xdr:rowOff>114300</xdr:rowOff>
    </xdr:to>
    <xdr:grpSp>
      <xdr:nvGrpSpPr>
        <xdr:cNvPr id="1453" name="Группа 5"/>
        <xdr:cNvGrpSpPr>
          <a:grpSpLocks/>
        </xdr:cNvGrpSpPr>
      </xdr:nvGrpSpPr>
      <xdr:grpSpPr bwMode="auto">
        <a:xfrm>
          <a:off x="838200" y="5219700"/>
          <a:ext cx="5495925" cy="2371725"/>
          <a:chOff x="838200" y="4752975"/>
          <a:chExt cx="5200650" cy="2371725"/>
        </a:xfrm>
      </xdr:grpSpPr>
      <xdr:graphicFrame macro="">
        <xdr:nvGraphicFramePr>
          <xdr:cNvPr id="1456" name="Диаграмма 1"/>
          <xdr:cNvGraphicFramePr>
            <a:graphicFrameLocks/>
          </xdr:cNvGraphicFramePr>
        </xdr:nvGraphicFramePr>
        <xdr:xfrm>
          <a:off x="838200" y="4752975"/>
          <a:ext cx="5200650" cy="2371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Овал 2"/>
          <xdr:cNvSpPr/>
        </xdr:nvSpPr>
        <xdr:spPr bwMode="auto">
          <a:xfrm>
            <a:off x="3686390" y="5715000"/>
            <a:ext cx="117172" cy="133350"/>
          </a:xfrm>
          <a:prstGeom prst="ellipse">
            <a:avLst/>
          </a:prstGeom>
          <a:solidFill>
            <a:srgbClr val="C00000"/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ru-RU"/>
          </a:p>
        </xdr:txBody>
      </xdr:sp>
    </xdr:grpSp>
    <xdr:clientData/>
  </xdr:twoCellAnchor>
  <xdr:twoCellAnchor>
    <xdr:from>
      <xdr:col>2</xdr:col>
      <xdr:colOff>609600</xdr:colOff>
      <xdr:row>45</xdr:row>
      <xdr:rowOff>57150</xdr:rowOff>
    </xdr:from>
    <xdr:to>
      <xdr:col>7</xdr:col>
      <xdr:colOff>590550</xdr:colOff>
      <xdr:row>58</xdr:row>
      <xdr:rowOff>38100</xdr:rowOff>
    </xdr:to>
    <xdr:graphicFrame macro="">
      <xdr:nvGraphicFramePr>
        <xdr:cNvPr id="1454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190500</xdr:colOff>
      <xdr:row>72</xdr:row>
      <xdr:rowOff>85725</xdr:rowOff>
    </xdr:from>
    <xdr:to>
      <xdr:col>8</xdr:col>
      <xdr:colOff>704850</xdr:colOff>
      <xdr:row>89</xdr:row>
      <xdr:rowOff>152400</xdr:rowOff>
    </xdr:to>
    <xdr:graphicFrame macro="">
      <xdr:nvGraphicFramePr>
        <xdr:cNvPr id="14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91"/>
  <sheetViews>
    <sheetView tabSelected="1" zoomScaleSheetLayoutView="100" workbookViewId="0">
      <selection activeCell="C3" sqref="C3"/>
    </sheetView>
  </sheetViews>
  <sheetFormatPr defaultRowHeight="15" x14ac:dyDescent="0.25"/>
  <cols>
    <col min="1" max="2" width="2.140625" style="44" customWidth="1"/>
    <col min="3" max="3" width="39.7109375" style="44" customWidth="1"/>
    <col min="4" max="4" width="14.140625" style="44" customWidth="1"/>
    <col min="5" max="5" width="9.7109375" style="44" bestFit="1" customWidth="1"/>
    <col min="6" max="6" width="9.7109375" style="44" customWidth="1"/>
    <col min="7" max="7" width="9.7109375" style="44" bestFit="1" customWidth="1"/>
    <col min="8" max="9" width="11.85546875" style="44" customWidth="1"/>
    <col min="10" max="10" width="1.140625" style="44" customWidth="1"/>
    <col min="11" max="16384" width="9.140625" style="44"/>
  </cols>
  <sheetData>
    <row r="2" spans="3:10" ht="6" customHeight="1" x14ac:dyDescent="0.25"/>
    <row r="3" spans="3:10" ht="21" x14ac:dyDescent="0.35">
      <c r="C3" s="30" t="s">
        <v>132</v>
      </c>
      <c r="D3" s="1"/>
      <c r="E3" s="1"/>
      <c r="F3" s="1"/>
      <c r="G3" s="1"/>
      <c r="H3" s="1"/>
      <c r="I3" s="1"/>
      <c r="J3" s="1"/>
    </row>
    <row r="4" spans="3:10" ht="9.9499999999999993" customHeight="1" x14ac:dyDescent="0.35">
      <c r="C4" s="30"/>
      <c r="D4" s="1"/>
      <c r="E4" s="1"/>
      <c r="F4" s="1"/>
      <c r="G4" s="1"/>
      <c r="H4" s="1"/>
      <c r="I4" s="1"/>
      <c r="J4" s="1"/>
    </row>
    <row r="5" spans="3:10" x14ac:dyDescent="0.25">
      <c r="C5" s="1" t="s">
        <v>97</v>
      </c>
      <c r="D5" s="1"/>
      <c r="E5" s="1"/>
      <c r="F5" s="1"/>
      <c r="G5" s="1"/>
      <c r="H5" s="1"/>
      <c r="I5" s="1"/>
      <c r="J5" s="1"/>
    </row>
    <row r="6" spans="3:10" x14ac:dyDescent="0.25">
      <c r="C6" s="1"/>
      <c r="D6" s="1"/>
      <c r="E6" s="1"/>
      <c r="F6" s="1"/>
      <c r="G6" s="1"/>
      <c r="H6" s="1"/>
      <c r="I6" s="1"/>
      <c r="J6" s="1"/>
    </row>
    <row r="7" spans="3:10" x14ac:dyDescent="0.25">
      <c r="C7" s="3" t="s">
        <v>69</v>
      </c>
      <c r="D7" s="1"/>
      <c r="E7" s="1"/>
      <c r="F7" s="1"/>
      <c r="G7" s="1"/>
      <c r="H7" s="1"/>
      <c r="I7" s="1"/>
      <c r="J7" s="1"/>
    </row>
    <row r="8" spans="3:10" ht="12" customHeight="1" x14ac:dyDescent="0.25">
      <c r="C8" s="31"/>
      <c r="D8" s="1"/>
      <c r="E8" s="1"/>
      <c r="F8" s="1"/>
      <c r="G8" s="1"/>
      <c r="H8" s="1"/>
      <c r="I8" s="1"/>
      <c r="J8" s="1"/>
    </row>
    <row r="9" spans="3:10" ht="12" customHeight="1" x14ac:dyDescent="0.25">
      <c r="C9" s="157" t="s">
        <v>135</v>
      </c>
      <c r="D9" s="158"/>
      <c r="E9" s="158"/>
      <c r="F9" s="158"/>
      <c r="G9" s="158"/>
      <c r="H9" s="158"/>
      <c r="I9" s="158"/>
      <c r="J9" s="1"/>
    </row>
    <row r="10" spans="3:10" ht="12" customHeight="1" x14ac:dyDescent="0.25">
      <c r="C10" s="158"/>
      <c r="D10" s="158"/>
      <c r="E10" s="158"/>
      <c r="F10" s="158"/>
      <c r="G10" s="158"/>
      <c r="H10" s="158"/>
      <c r="I10" s="158"/>
      <c r="J10" s="1"/>
    </row>
    <row r="11" spans="3:10" ht="12" customHeight="1" x14ac:dyDescent="0.25">
      <c r="C11" s="158"/>
      <c r="D11" s="158"/>
      <c r="E11" s="158"/>
      <c r="F11" s="158"/>
      <c r="G11" s="158"/>
      <c r="H11" s="158"/>
      <c r="I11" s="158"/>
      <c r="J11" s="1"/>
    </row>
    <row r="12" spans="3:10" ht="12" customHeight="1" x14ac:dyDescent="0.25">
      <c r="C12" s="158"/>
      <c r="D12" s="158"/>
      <c r="E12" s="158"/>
      <c r="F12" s="158"/>
      <c r="G12" s="158"/>
      <c r="H12" s="158"/>
      <c r="I12" s="158"/>
      <c r="J12" s="1"/>
    </row>
    <row r="13" spans="3:10" ht="6" customHeight="1" x14ac:dyDescent="0.25">
      <c r="C13" s="31"/>
      <c r="D13" s="1"/>
      <c r="E13" s="1"/>
      <c r="F13" s="1"/>
      <c r="G13" s="1"/>
      <c r="H13" s="1"/>
      <c r="I13" s="1"/>
      <c r="J13" s="1"/>
    </row>
    <row r="14" spans="3:10" ht="6" customHeight="1" x14ac:dyDescent="0.25">
      <c r="C14" s="31"/>
      <c r="D14" s="1"/>
      <c r="E14" s="1"/>
      <c r="F14" s="1"/>
      <c r="G14" s="1"/>
      <c r="H14" s="1"/>
      <c r="I14" s="1"/>
      <c r="J14" s="1"/>
    </row>
    <row r="15" spans="3:10" x14ac:dyDescent="0.25">
      <c r="C15" s="84" t="s">
        <v>70</v>
      </c>
      <c r="D15" s="154" t="s">
        <v>64</v>
      </c>
      <c r="E15" s="154" t="s">
        <v>65</v>
      </c>
      <c r="F15" s="154" t="s">
        <v>66</v>
      </c>
      <c r="G15" s="154" t="s">
        <v>67</v>
      </c>
      <c r="H15" s="154" t="s">
        <v>58</v>
      </c>
      <c r="I15" s="154" t="s">
        <v>129</v>
      </c>
      <c r="J15" s="1"/>
    </row>
    <row r="16" spans="3:10" x14ac:dyDescent="0.25">
      <c r="C16" s="78" t="s">
        <v>68</v>
      </c>
      <c r="D16" s="79">
        <f>SUM(D17:D17)</f>
        <v>1000000</v>
      </c>
      <c r="E16" s="79">
        <f>SUM(E17:E17)</f>
        <v>2200000</v>
      </c>
      <c r="F16" s="79">
        <f>SUM(F17:F17)</f>
        <v>3000000</v>
      </c>
      <c r="G16" s="79">
        <f>SUM(G17:G17)</f>
        <v>3000000</v>
      </c>
      <c r="H16" s="79">
        <f>SUM(H17:H17)</f>
        <v>9200000</v>
      </c>
      <c r="I16" s="79">
        <v>12000000</v>
      </c>
      <c r="J16" s="73"/>
    </row>
    <row r="17" spans="3:10" x14ac:dyDescent="0.25">
      <c r="C17" s="75" t="s">
        <v>121</v>
      </c>
      <c r="D17" s="74">
        <f>SUM(PL!D8:F8)</f>
        <v>1000000</v>
      </c>
      <c r="E17" s="74">
        <f>SUM(PL!G8:I8)</f>
        <v>2200000</v>
      </c>
      <c r="F17" s="74">
        <f>SUM(PL!J8:L8)</f>
        <v>3000000</v>
      </c>
      <c r="G17" s="74">
        <f>SUM(PL!M8:O8)</f>
        <v>3000000</v>
      </c>
      <c r="H17" s="74">
        <f>SUM(D17:G17)</f>
        <v>9200000</v>
      </c>
      <c r="I17" s="74">
        <v>12000000</v>
      </c>
      <c r="J17" s="73"/>
    </row>
    <row r="18" spans="3:10" x14ac:dyDescent="0.25">
      <c r="C18" s="76" t="s">
        <v>4</v>
      </c>
      <c r="D18" s="80">
        <f>SUM(PL!D16:F16)</f>
        <v>200000</v>
      </c>
      <c r="E18" s="80">
        <f>SUM(PL!G16:I16)</f>
        <v>440000</v>
      </c>
      <c r="F18" s="80">
        <f>SUM(PL!J16:L16)</f>
        <v>600000</v>
      </c>
      <c r="G18" s="80">
        <f>SUM(PL!M16:O16)</f>
        <v>600000</v>
      </c>
      <c r="H18" s="80">
        <f>SUM(D18:G18)</f>
        <v>1840000</v>
      </c>
      <c r="I18" s="80">
        <v>2400000</v>
      </c>
      <c r="J18" s="73"/>
    </row>
    <row r="19" spans="3:10" x14ac:dyDescent="0.25">
      <c r="C19" s="78" t="s">
        <v>28</v>
      </c>
      <c r="D19" s="79">
        <f>D16-D18</f>
        <v>800000</v>
      </c>
      <c r="E19" s="79">
        <f>E16-E18</f>
        <v>1760000</v>
      </c>
      <c r="F19" s="79">
        <f>F16-F18</f>
        <v>2400000</v>
      </c>
      <c r="G19" s="79">
        <f>G16-G18</f>
        <v>2400000</v>
      </c>
      <c r="H19" s="79">
        <f>H16-H18</f>
        <v>7360000</v>
      </c>
      <c r="I19" s="79">
        <v>9600000</v>
      </c>
      <c r="J19" s="73"/>
    </row>
    <row r="20" spans="3:10" x14ac:dyDescent="0.25">
      <c r="C20" s="81" t="s">
        <v>29</v>
      </c>
      <c r="D20" s="83">
        <f t="shared" ref="D20:I20" si="0">D19/D16</f>
        <v>0.8</v>
      </c>
      <c r="E20" s="83">
        <f t="shared" si="0"/>
        <v>0.8</v>
      </c>
      <c r="F20" s="83">
        <f t="shared" si="0"/>
        <v>0.8</v>
      </c>
      <c r="G20" s="83">
        <f t="shared" si="0"/>
        <v>0.8</v>
      </c>
      <c r="H20" s="83">
        <f t="shared" si="0"/>
        <v>0.8</v>
      </c>
      <c r="I20" s="83">
        <f t="shared" si="0"/>
        <v>0.8</v>
      </c>
      <c r="J20" s="73"/>
    </row>
    <row r="21" spans="3:10" x14ac:dyDescent="0.25">
      <c r="C21" s="76" t="s">
        <v>2</v>
      </c>
      <c r="D21" s="74">
        <f>SUM(PL!D26:F26)</f>
        <v>30000</v>
      </c>
      <c r="E21" s="74">
        <f>SUM(PL!G26:I26)</f>
        <v>66000</v>
      </c>
      <c r="F21" s="74">
        <f>SUM(PL!J26:L26)</f>
        <v>90000</v>
      </c>
      <c r="G21" s="74">
        <f>SUM(PL!M26:O26)</f>
        <v>90000</v>
      </c>
      <c r="H21" s="74">
        <f>SUM(D21:G21)</f>
        <v>276000</v>
      </c>
      <c r="I21" s="74">
        <v>360000</v>
      </c>
      <c r="J21" s="73"/>
    </row>
    <row r="22" spans="3:10" x14ac:dyDescent="0.25">
      <c r="C22" s="76" t="s">
        <v>5</v>
      </c>
      <c r="D22" s="74">
        <f>SUM(PL!D41:F41)</f>
        <v>327200</v>
      </c>
      <c r="E22" s="74">
        <f>SUM(PL!G41:I41)</f>
        <v>644800</v>
      </c>
      <c r="F22" s="74">
        <f>SUM(PL!J41:L41)</f>
        <v>861000</v>
      </c>
      <c r="G22" s="74">
        <f>SUM(PL!M41:O41)</f>
        <v>861000</v>
      </c>
      <c r="H22" s="74">
        <f>SUM(D22:G22)</f>
        <v>2694000</v>
      </c>
      <c r="I22" s="74">
        <v>3444000</v>
      </c>
      <c r="J22" s="73"/>
    </row>
    <row r="23" spans="3:10" x14ac:dyDescent="0.25">
      <c r="C23" s="76" t="s">
        <v>18</v>
      </c>
      <c r="D23" s="74">
        <f>SUM(PL!D52:F52)</f>
        <v>76500</v>
      </c>
      <c r="E23" s="74">
        <f>SUM(PL!G52:I52)</f>
        <v>76500</v>
      </c>
      <c r="F23" s="74">
        <f>SUM(PL!J52:L52)</f>
        <v>76500</v>
      </c>
      <c r="G23" s="74">
        <f>SUM(PL!M52:O52)</f>
        <v>76500</v>
      </c>
      <c r="H23" s="74">
        <f>SUM(D23:G23)</f>
        <v>306000</v>
      </c>
      <c r="I23" s="74">
        <v>306000</v>
      </c>
      <c r="J23" s="73"/>
    </row>
    <row r="24" spans="3:10" x14ac:dyDescent="0.25">
      <c r="C24" s="78" t="s">
        <v>27</v>
      </c>
      <c r="D24" s="79">
        <f t="shared" ref="D24:H24" si="1">D19-D21-D22-D23</f>
        <v>366300</v>
      </c>
      <c r="E24" s="79">
        <f t="shared" si="1"/>
        <v>972700</v>
      </c>
      <c r="F24" s="79">
        <f t="shared" si="1"/>
        <v>1372500</v>
      </c>
      <c r="G24" s="79">
        <f t="shared" si="1"/>
        <v>1372500</v>
      </c>
      <c r="H24" s="79">
        <f t="shared" si="1"/>
        <v>4084000</v>
      </c>
      <c r="I24" s="79">
        <f>PL!R55</f>
        <v>5490000</v>
      </c>
      <c r="J24" s="73"/>
    </row>
    <row r="25" spans="3:10" x14ac:dyDescent="0.25">
      <c r="C25" s="77" t="s">
        <v>57</v>
      </c>
      <c r="D25" s="74">
        <f>SUM(PL!D67:F67)</f>
        <v>60000</v>
      </c>
      <c r="E25" s="74">
        <f>SUM(PL!G67:I67)</f>
        <v>132000</v>
      </c>
      <c r="F25" s="74">
        <f>SUM(PL!J67:L67)</f>
        <v>180000</v>
      </c>
      <c r="G25" s="74">
        <f>SUM(PL!M67:O67)</f>
        <v>180000</v>
      </c>
      <c r="H25" s="74">
        <f>SUM(D25:G25)</f>
        <v>552000</v>
      </c>
      <c r="I25" s="74">
        <f>PL!R67</f>
        <v>720000</v>
      </c>
      <c r="J25" s="73"/>
    </row>
    <row r="26" spans="3:10" x14ac:dyDescent="0.25">
      <c r="C26" s="78" t="s">
        <v>37</v>
      </c>
      <c r="D26" s="79">
        <f t="shared" ref="D26:H26" si="2">D24-D25</f>
        <v>306300</v>
      </c>
      <c r="E26" s="79">
        <f t="shared" si="2"/>
        <v>840700</v>
      </c>
      <c r="F26" s="79">
        <f t="shared" si="2"/>
        <v>1192500</v>
      </c>
      <c r="G26" s="79">
        <f t="shared" si="2"/>
        <v>1192500</v>
      </c>
      <c r="H26" s="79">
        <f t="shared" si="2"/>
        <v>3532000</v>
      </c>
      <c r="I26" s="79">
        <f>PL!R68</f>
        <v>4770000</v>
      </c>
      <c r="J26" s="73"/>
    </row>
    <row r="27" spans="3:10" x14ac:dyDescent="0.25">
      <c r="C27" s="81" t="s">
        <v>39</v>
      </c>
      <c r="D27" s="82">
        <f t="shared" ref="D27:I27" si="3">D26/D16</f>
        <v>0.30630000000000002</v>
      </c>
      <c r="E27" s="82">
        <f t="shared" si="3"/>
        <v>0.38213636363636366</v>
      </c>
      <c r="F27" s="82">
        <f t="shared" si="3"/>
        <v>0.39750000000000002</v>
      </c>
      <c r="G27" s="82">
        <f t="shared" si="3"/>
        <v>0.39750000000000002</v>
      </c>
      <c r="H27" s="82">
        <f t="shared" si="3"/>
        <v>0.38391304347826088</v>
      </c>
      <c r="I27" s="82">
        <f t="shared" si="3"/>
        <v>0.39750000000000002</v>
      </c>
      <c r="J27" s="73"/>
    </row>
    <row r="28" spans="3:10" x14ac:dyDescent="0.25">
      <c r="C28" s="1"/>
      <c r="D28" s="73"/>
      <c r="E28" s="73"/>
      <c r="F28" s="73"/>
      <c r="G28" s="73"/>
      <c r="H28" s="73"/>
      <c r="I28" s="73"/>
      <c r="J28" s="73"/>
    </row>
    <row r="29" spans="3:10" x14ac:dyDescent="0.25">
      <c r="C29" s="85" t="s">
        <v>71</v>
      </c>
      <c r="D29" s="1"/>
      <c r="E29" s="1"/>
      <c r="F29" s="1"/>
      <c r="G29" s="1"/>
      <c r="H29" s="1"/>
      <c r="I29" s="1"/>
      <c r="J29" s="1"/>
    </row>
    <row r="30" spans="3:10" x14ac:dyDescent="0.25">
      <c r="C30" s="86" t="s">
        <v>131</v>
      </c>
      <c r="D30" s="1"/>
      <c r="E30" s="1"/>
      <c r="F30" s="1"/>
      <c r="G30" s="1"/>
      <c r="H30" s="1"/>
      <c r="I30" s="1"/>
      <c r="J30" s="1"/>
    </row>
    <row r="31" spans="3:10" x14ac:dyDescent="0.25">
      <c r="C31" s="1"/>
      <c r="D31" s="1"/>
      <c r="E31" s="1"/>
      <c r="F31" s="1"/>
      <c r="G31" s="1"/>
      <c r="H31" s="1"/>
      <c r="I31" s="1"/>
      <c r="J31" s="1"/>
    </row>
    <row r="32" spans="3:10" x14ac:dyDescent="0.25">
      <c r="C32" s="1"/>
      <c r="D32" s="1"/>
      <c r="E32" s="1"/>
      <c r="F32" s="1"/>
      <c r="G32" s="1"/>
      <c r="H32" s="1"/>
      <c r="I32" s="1"/>
      <c r="J32" s="1"/>
    </row>
    <row r="33" spans="3:10" x14ac:dyDescent="0.25">
      <c r="C33" s="1"/>
      <c r="D33" s="1"/>
      <c r="E33" s="1"/>
      <c r="F33" s="1"/>
      <c r="G33" s="1"/>
      <c r="H33" s="1"/>
      <c r="I33" s="1"/>
      <c r="J33" s="1"/>
    </row>
    <row r="34" spans="3:10" x14ac:dyDescent="0.25">
      <c r="C34" s="1"/>
      <c r="D34" s="1"/>
      <c r="E34" s="1"/>
      <c r="F34" s="1"/>
      <c r="G34" s="1"/>
      <c r="H34" s="1"/>
      <c r="I34" s="1"/>
      <c r="J34" s="1"/>
    </row>
    <row r="35" spans="3:10" x14ac:dyDescent="0.25">
      <c r="C35" s="1"/>
      <c r="D35" s="1"/>
      <c r="E35" s="1"/>
      <c r="F35" s="1"/>
      <c r="G35" s="1"/>
      <c r="H35" s="1"/>
      <c r="I35" s="1"/>
      <c r="J35" s="1"/>
    </row>
    <row r="36" spans="3:10" x14ac:dyDescent="0.25">
      <c r="C36" s="1"/>
      <c r="D36" s="1"/>
      <c r="E36" s="1"/>
      <c r="F36" s="1"/>
      <c r="G36" s="1"/>
      <c r="H36" s="1"/>
      <c r="I36" s="1"/>
      <c r="J36" s="1"/>
    </row>
    <row r="37" spans="3:10" x14ac:dyDescent="0.25">
      <c r="C37" s="1"/>
      <c r="D37" s="1"/>
      <c r="E37" s="1"/>
      <c r="F37" s="1"/>
      <c r="G37" s="1"/>
      <c r="H37" s="1"/>
      <c r="I37" s="1"/>
      <c r="J37" s="1"/>
    </row>
    <row r="38" spans="3:10" x14ac:dyDescent="0.25">
      <c r="C38" s="1"/>
      <c r="D38" s="1"/>
      <c r="E38" s="1"/>
      <c r="F38" s="1"/>
      <c r="G38" s="1"/>
      <c r="H38" s="1"/>
      <c r="I38" s="1"/>
      <c r="J38" s="1"/>
    </row>
    <row r="39" spans="3:10" x14ac:dyDescent="0.25">
      <c r="C39" s="1"/>
      <c r="D39" s="1"/>
      <c r="E39" s="1"/>
      <c r="F39" s="1"/>
      <c r="G39" s="1"/>
      <c r="H39" s="1"/>
      <c r="I39" s="1"/>
      <c r="J39" s="1"/>
    </row>
    <row r="40" spans="3:10" x14ac:dyDescent="0.25">
      <c r="C40" s="1"/>
      <c r="D40" s="1"/>
      <c r="E40" s="1"/>
      <c r="F40" s="1"/>
      <c r="G40" s="1"/>
      <c r="H40" s="1"/>
      <c r="I40" s="1"/>
      <c r="J40" s="1"/>
    </row>
    <row r="41" spans="3:10" x14ac:dyDescent="0.25">
      <c r="C41" s="1"/>
      <c r="D41" s="1"/>
      <c r="E41" s="1"/>
      <c r="F41" s="1"/>
      <c r="G41" s="1"/>
      <c r="H41" s="1"/>
      <c r="I41" s="1"/>
      <c r="J41" s="1"/>
    </row>
    <row r="42" spans="3:10" x14ac:dyDescent="0.25">
      <c r="C42" s="1"/>
      <c r="D42" s="1"/>
      <c r="E42" s="1"/>
      <c r="F42" s="1"/>
      <c r="G42" s="1"/>
      <c r="H42" s="1"/>
      <c r="I42" s="1"/>
      <c r="J42" s="1"/>
    </row>
    <row r="43" spans="3:10" x14ac:dyDescent="0.25">
      <c r="C43" s="1"/>
      <c r="D43" s="1"/>
      <c r="E43" s="1"/>
      <c r="F43" s="1"/>
      <c r="G43" s="1"/>
      <c r="H43" s="1"/>
      <c r="I43" s="1"/>
      <c r="J43" s="1"/>
    </row>
    <row r="44" spans="3:10" x14ac:dyDescent="0.25">
      <c r="C44" s="1"/>
      <c r="D44" s="1"/>
      <c r="E44" s="1"/>
      <c r="F44" s="1"/>
      <c r="G44" s="1"/>
      <c r="H44" s="1"/>
      <c r="I44" s="1"/>
      <c r="J44" s="1"/>
    </row>
    <row r="45" spans="3:10" x14ac:dyDescent="0.25">
      <c r="C45" s="85" t="s">
        <v>134</v>
      </c>
      <c r="D45" s="1"/>
      <c r="E45" s="1"/>
      <c r="F45" s="1"/>
      <c r="G45" s="1"/>
      <c r="H45" s="1"/>
      <c r="I45" s="1"/>
      <c r="J45" s="1"/>
    </row>
    <row r="46" spans="3:10" x14ac:dyDescent="0.25">
      <c r="C46" s="1"/>
      <c r="D46" s="1"/>
      <c r="E46" s="1"/>
      <c r="F46" s="1"/>
      <c r="G46" s="1"/>
      <c r="H46" s="1"/>
      <c r="I46" s="1"/>
      <c r="J46" s="1"/>
    </row>
    <row r="47" spans="3:10" x14ac:dyDescent="0.25">
      <c r="C47" s="1"/>
      <c r="D47" s="1"/>
      <c r="E47" s="1"/>
      <c r="F47" s="1"/>
      <c r="G47" s="1"/>
      <c r="H47" s="1"/>
      <c r="I47" s="62"/>
      <c r="J47" s="62"/>
    </row>
    <row r="48" spans="3:10" x14ac:dyDescent="0.25">
      <c r="C48" s="1"/>
      <c r="D48" s="1"/>
      <c r="E48" s="1"/>
      <c r="F48" s="1"/>
      <c r="G48" s="1"/>
      <c r="H48" s="1"/>
      <c r="I48" s="62"/>
      <c r="J48" s="62"/>
    </row>
    <row r="49" spans="3:10" x14ac:dyDescent="0.25">
      <c r="C49" s="1"/>
      <c r="D49" s="1"/>
      <c r="E49" s="1"/>
      <c r="F49" s="1"/>
      <c r="G49" s="1"/>
      <c r="H49" s="1"/>
      <c r="I49" s="62"/>
      <c r="J49" s="62"/>
    </row>
    <row r="50" spans="3:10" x14ac:dyDescent="0.25">
      <c r="C50" s="148"/>
      <c r="D50" s="148"/>
      <c r="E50" s="148"/>
      <c r="F50" s="148"/>
      <c r="G50" s="148"/>
      <c r="H50" s="148"/>
      <c r="I50" s="148"/>
      <c r="J50" s="62"/>
    </row>
    <row r="51" spans="3:10" x14ac:dyDescent="0.25">
      <c r="C51" s="148"/>
      <c r="D51" s="148"/>
      <c r="E51" s="148"/>
      <c r="F51" s="148"/>
      <c r="G51" s="148"/>
      <c r="H51" s="148"/>
      <c r="I51" s="148"/>
      <c r="J51" s="62"/>
    </row>
    <row r="52" spans="3:10" x14ac:dyDescent="0.25">
      <c r="C52" s="148"/>
      <c r="D52" s="148"/>
      <c r="E52" s="148"/>
      <c r="F52" s="148"/>
      <c r="G52" s="148"/>
      <c r="H52" s="148"/>
      <c r="I52" s="148"/>
      <c r="J52" s="62"/>
    </row>
    <row r="53" spans="3:10" x14ac:dyDescent="0.25">
      <c r="C53" s="148"/>
      <c r="D53" s="148"/>
      <c r="E53" s="148"/>
      <c r="F53" s="148"/>
      <c r="G53" s="148"/>
      <c r="H53" s="148"/>
      <c r="I53" s="148"/>
      <c r="J53" s="62"/>
    </row>
    <row r="54" spans="3:10" x14ac:dyDescent="0.25">
      <c r="C54" s="148"/>
      <c r="D54" s="148"/>
      <c r="E54" s="148"/>
      <c r="F54" s="148"/>
      <c r="G54" s="148"/>
      <c r="H54" s="148"/>
      <c r="I54" s="148"/>
      <c r="J54" s="62"/>
    </row>
    <row r="55" spans="3:10" x14ac:dyDescent="0.25">
      <c r="C55" s="148"/>
      <c r="D55" s="148"/>
      <c r="E55" s="148"/>
      <c r="F55" s="148"/>
      <c r="G55" s="148"/>
      <c r="H55" s="148"/>
      <c r="I55" s="148"/>
      <c r="J55" s="62"/>
    </row>
    <row r="56" spans="3:10" x14ac:dyDescent="0.25">
      <c r="C56" s="148"/>
      <c r="D56" s="148"/>
      <c r="E56" s="148"/>
      <c r="F56" s="148"/>
      <c r="G56" s="148"/>
      <c r="H56" s="148"/>
      <c r="I56" s="148"/>
      <c r="J56" s="62"/>
    </row>
    <row r="57" spans="3:10" x14ac:dyDescent="0.25">
      <c r="C57" s="148"/>
      <c r="D57" s="148"/>
      <c r="E57" s="148"/>
      <c r="F57" s="148"/>
      <c r="G57" s="148"/>
      <c r="H57" s="148"/>
      <c r="I57" s="148"/>
      <c r="J57" s="62"/>
    </row>
    <row r="58" spans="3:10" x14ac:dyDescent="0.25">
      <c r="C58" s="148"/>
      <c r="D58" s="148"/>
      <c r="E58" s="148"/>
      <c r="F58" s="148"/>
      <c r="G58" s="148"/>
      <c r="H58" s="148"/>
      <c r="I58" s="148"/>
      <c r="J58" s="62"/>
    </row>
    <row r="59" spans="3:10" x14ac:dyDescent="0.25">
      <c r="C59" s="148"/>
      <c r="D59" s="148"/>
      <c r="E59" s="148"/>
      <c r="F59" s="148"/>
      <c r="G59" s="148"/>
      <c r="H59" s="148"/>
      <c r="I59" s="148"/>
      <c r="J59" s="62"/>
    </row>
    <row r="60" spans="3:10" x14ac:dyDescent="0.25">
      <c r="C60" s="148"/>
      <c r="D60" s="148"/>
      <c r="E60" s="148"/>
      <c r="F60" s="148"/>
      <c r="G60" s="148"/>
      <c r="H60" s="148"/>
      <c r="I60" s="148"/>
      <c r="J60" s="62"/>
    </row>
    <row r="61" spans="3:10" s="98" customFormat="1" x14ac:dyDescent="0.25">
      <c r="C61" s="85" t="s">
        <v>95</v>
      </c>
      <c r="D61" s="89"/>
      <c r="E61" s="97"/>
      <c r="F61" s="97"/>
      <c r="G61" s="97"/>
      <c r="H61" s="97"/>
      <c r="I61" s="97"/>
      <c r="J61" s="97"/>
    </row>
    <row r="62" spans="3:10" s="98" customFormat="1" ht="12.75" x14ac:dyDescent="0.2">
      <c r="C62" s="89"/>
      <c r="D62" s="89"/>
      <c r="E62" s="97"/>
      <c r="F62" s="97"/>
      <c r="G62" s="97"/>
      <c r="H62" s="97"/>
      <c r="I62" s="97"/>
      <c r="J62" s="97"/>
    </row>
    <row r="63" spans="3:10" s="98" customFormat="1" ht="12.75" x14ac:dyDescent="0.2">
      <c r="C63" s="91" t="s">
        <v>84</v>
      </c>
      <c r="D63" s="91"/>
      <c r="E63" s="92"/>
      <c r="F63" s="92"/>
      <c r="G63" s="92"/>
      <c r="H63" s="97"/>
      <c r="I63" s="97"/>
      <c r="J63" s="97"/>
    </row>
    <row r="64" spans="3:10" s="98" customFormat="1" ht="12.75" x14ac:dyDescent="0.2">
      <c r="C64" s="93"/>
      <c r="D64" s="94"/>
      <c r="E64" s="147"/>
      <c r="F64" s="92"/>
      <c r="G64" s="92"/>
      <c r="H64" s="97"/>
      <c r="I64" s="97"/>
      <c r="J64" s="97"/>
    </row>
    <row r="65" spans="3:10" s="98" customFormat="1" ht="12.75" x14ac:dyDescent="0.2">
      <c r="C65" s="95" t="s">
        <v>85</v>
      </c>
      <c r="D65" s="150">
        <v>9.8000000000000004E-2</v>
      </c>
      <c r="E65" s="147"/>
      <c r="F65" s="92"/>
      <c r="G65" s="92"/>
      <c r="H65" s="97"/>
      <c r="I65" s="97"/>
      <c r="J65" s="97"/>
    </row>
    <row r="66" spans="3:10" s="98" customFormat="1" ht="12.75" x14ac:dyDescent="0.2">
      <c r="C66" s="96" t="s">
        <v>90</v>
      </c>
      <c r="D66" s="151">
        <f>PL!Q87</f>
        <v>2349827.9582353393</v>
      </c>
      <c r="E66" s="147"/>
      <c r="F66" s="92"/>
      <c r="G66" s="92"/>
      <c r="H66" s="97"/>
      <c r="I66" s="97"/>
      <c r="J66" s="97"/>
    </row>
    <row r="67" spans="3:10" s="98" customFormat="1" ht="12.75" x14ac:dyDescent="0.2">
      <c r="C67" s="96" t="s">
        <v>86</v>
      </c>
      <c r="D67" s="149" t="str">
        <f>PL!S94</f>
        <v xml:space="preserve">Проект окупается в 1-ый год </v>
      </c>
      <c r="E67" s="147"/>
      <c r="F67" s="92"/>
      <c r="G67" s="92"/>
      <c r="H67" s="97"/>
      <c r="I67" s="97"/>
      <c r="J67" s="97"/>
    </row>
    <row r="68" spans="3:10" s="98" customFormat="1" ht="12.75" x14ac:dyDescent="0.2">
      <c r="C68" s="93" t="s">
        <v>87</v>
      </c>
      <c r="D68" s="152">
        <f>PL!S92</f>
        <v>5.5302013422818792</v>
      </c>
      <c r="E68" s="147"/>
      <c r="F68" s="92"/>
      <c r="G68" s="92"/>
      <c r="H68" s="97"/>
      <c r="I68" s="97"/>
      <c r="J68" s="97"/>
    </row>
    <row r="69" spans="3:10" s="98" customFormat="1" ht="12.75" x14ac:dyDescent="0.2">
      <c r="C69" s="96" t="s">
        <v>91</v>
      </c>
      <c r="D69" s="152">
        <f>PL!S93</f>
        <v>5.6097148347262582</v>
      </c>
      <c r="E69" s="147"/>
      <c r="F69" s="92"/>
      <c r="G69" s="92"/>
      <c r="H69" s="97"/>
      <c r="I69" s="97"/>
      <c r="J69" s="97"/>
    </row>
    <row r="70" spans="3:10" s="98" customFormat="1" ht="12.75" x14ac:dyDescent="0.2">
      <c r="C70" s="93"/>
      <c r="D70" s="94"/>
      <c r="E70" s="147"/>
      <c r="F70" s="92"/>
      <c r="G70" s="92"/>
      <c r="H70" s="97"/>
      <c r="I70" s="97"/>
      <c r="J70" s="97"/>
    </row>
    <row r="71" spans="3:10" s="98" customFormat="1" ht="12.75" x14ac:dyDescent="0.2">
      <c r="C71" s="91" t="s">
        <v>92</v>
      </c>
      <c r="D71" s="153">
        <v>1000000</v>
      </c>
      <c r="E71" s="147"/>
      <c r="F71" s="92"/>
      <c r="G71" s="92"/>
      <c r="H71" s="97"/>
      <c r="I71" s="97"/>
      <c r="J71" s="97"/>
    </row>
    <row r="72" spans="3:10" x14ac:dyDescent="0.25">
      <c r="C72" s="92"/>
      <c r="D72" s="92"/>
      <c r="E72" s="92"/>
      <c r="F72" s="92"/>
      <c r="G72" s="92"/>
      <c r="H72" s="90"/>
      <c r="I72" s="90"/>
      <c r="J72" s="90"/>
    </row>
    <row r="73" spans="3:10" x14ac:dyDescent="0.25">
      <c r="C73" s="92"/>
      <c r="D73" s="92"/>
      <c r="E73" s="92"/>
      <c r="F73" s="92"/>
      <c r="G73" s="92"/>
      <c r="H73" s="90"/>
      <c r="I73" s="90"/>
      <c r="J73" s="90"/>
    </row>
    <row r="74" spans="3:10" x14ac:dyDescent="0.25">
      <c r="C74" s="62"/>
      <c r="D74" s="62"/>
      <c r="E74" s="62"/>
      <c r="F74" s="62"/>
      <c r="G74" s="62"/>
      <c r="H74" s="62"/>
      <c r="I74" s="62"/>
      <c r="J74" s="62"/>
    </row>
    <row r="75" spans="3:10" x14ac:dyDescent="0.25">
      <c r="C75" s="62"/>
      <c r="D75" s="62"/>
      <c r="E75" s="62"/>
      <c r="F75" s="62"/>
      <c r="G75" s="62"/>
      <c r="H75" s="62"/>
      <c r="I75" s="62"/>
      <c r="J75" s="62"/>
    </row>
    <row r="76" spans="3:10" x14ac:dyDescent="0.25">
      <c r="C76" s="62"/>
      <c r="D76" s="62"/>
      <c r="E76" s="62"/>
      <c r="F76" s="62"/>
      <c r="G76" s="62"/>
      <c r="H76" s="62"/>
      <c r="I76" s="62"/>
      <c r="J76" s="62"/>
    </row>
    <row r="77" spans="3:10" x14ac:dyDescent="0.25">
      <c r="C77" s="62"/>
      <c r="D77" s="62"/>
      <c r="E77" s="62"/>
      <c r="F77" s="62"/>
      <c r="G77" s="62"/>
      <c r="H77" s="62"/>
      <c r="I77" s="62"/>
      <c r="J77" s="62"/>
    </row>
    <row r="78" spans="3:10" x14ac:dyDescent="0.25">
      <c r="C78" s="62"/>
      <c r="D78" s="62"/>
      <c r="E78" s="62"/>
      <c r="F78" s="62"/>
      <c r="G78" s="62"/>
      <c r="H78" s="62"/>
      <c r="I78" s="62"/>
      <c r="J78" s="62"/>
    </row>
    <row r="79" spans="3:10" x14ac:dyDescent="0.25">
      <c r="C79" s="62"/>
      <c r="D79" s="62"/>
      <c r="E79" s="62"/>
      <c r="F79" s="62"/>
      <c r="G79" s="62"/>
      <c r="H79" s="62"/>
      <c r="I79" s="62"/>
      <c r="J79" s="62"/>
    </row>
    <row r="80" spans="3:10" x14ac:dyDescent="0.25">
      <c r="C80" s="62"/>
      <c r="D80" s="62"/>
      <c r="E80" s="62"/>
      <c r="F80" s="62"/>
      <c r="G80" s="62"/>
      <c r="H80" s="62"/>
      <c r="I80" s="62"/>
      <c r="J80" s="62"/>
    </row>
    <row r="81" spans="3:10" x14ac:dyDescent="0.25">
      <c r="C81" s="62"/>
      <c r="D81" s="62"/>
      <c r="E81" s="62"/>
      <c r="F81" s="62"/>
      <c r="G81" s="62"/>
      <c r="H81" s="62"/>
      <c r="I81" s="62"/>
      <c r="J81" s="62"/>
    </row>
    <row r="82" spans="3:10" x14ac:dyDescent="0.25">
      <c r="C82" s="62"/>
      <c r="D82" s="62"/>
      <c r="E82" s="62"/>
      <c r="F82" s="62"/>
      <c r="G82" s="62"/>
      <c r="H82" s="62"/>
      <c r="I82" s="62"/>
      <c r="J82" s="62"/>
    </row>
    <row r="83" spans="3:10" x14ac:dyDescent="0.25">
      <c r="C83" s="62"/>
      <c r="D83" s="62"/>
      <c r="E83" s="62"/>
      <c r="F83" s="62"/>
      <c r="G83" s="62"/>
      <c r="H83" s="62"/>
      <c r="I83" s="62"/>
      <c r="J83" s="62"/>
    </row>
    <row r="84" spans="3:10" x14ac:dyDescent="0.25">
      <c r="C84" s="62"/>
      <c r="D84" s="62"/>
      <c r="E84" s="62"/>
      <c r="F84" s="62"/>
      <c r="G84" s="62"/>
      <c r="H84" s="62"/>
      <c r="I84" s="62"/>
      <c r="J84" s="62"/>
    </row>
    <row r="85" spans="3:10" x14ac:dyDescent="0.25">
      <c r="C85" s="62"/>
      <c r="D85" s="62"/>
      <c r="E85" s="62"/>
      <c r="F85" s="62"/>
      <c r="G85" s="62"/>
      <c r="H85" s="62"/>
      <c r="I85" s="62"/>
      <c r="J85" s="62"/>
    </row>
    <row r="86" spans="3:10" x14ac:dyDescent="0.25">
      <c r="C86" s="62"/>
      <c r="D86" s="62"/>
      <c r="E86" s="62"/>
      <c r="F86" s="62"/>
      <c r="G86" s="62"/>
      <c r="H86" s="62"/>
      <c r="I86" s="62"/>
      <c r="J86" s="62"/>
    </row>
    <row r="87" spans="3:10" x14ac:dyDescent="0.25">
      <c r="C87" s="62"/>
      <c r="D87" s="62"/>
      <c r="E87" s="62"/>
      <c r="F87" s="62"/>
      <c r="G87" s="62"/>
      <c r="H87" s="62"/>
      <c r="I87" s="62"/>
      <c r="J87" s="62"/>
    </row>
    <row r="88" spans="3:10" x14ac:dyDescent="0.25">
      <c r="C88" s="62"/>
      <c r="D88" s="62"/>
      <c r="E88" s="62"/>
      <c r="F88" s="62"/>
      <c r="G88" s="62"/>
      <c r="H88" s="62"/>
      <c r="I88" s="62"/>
      <c r="J88" s="62"/>
    </row>
    <row r="89" spans="3:10" x14ac:dyDescent="0.25">
      <c r="C89" s="62"/>
      <c r="D89" s="62"/>
      <c r="E89" s="62"/>
      <c r="F89" s="62"/>
      <c r="G89" s="62"/>
      <c r="H89" s="62"/>
      <c r="I89" s="62"/>
      <c r="J89" s="62"/>
    </row>
    <row r="90" spans="3:10" x14ac:dyDescent="0.25">
      <c r="C90" s="62"/>
      <c r="D90" s="62"/>
      <c r="E90" s="62"/>
      <c r="F90" s="62"/>
      <c r="G90" s="62"/>
      <c r="H90" s="62"/>
      <c r="I90" s="62"/>
      <c r="J90" s="62"/>
    </row>
    <row r="91" spans="3:10" x14ac:dyDescent="0.25">
      <c r="C91" s="62"/>
      <c r="D91" s="62"/>
      <c r="E91" s="62"/>
      <c r="F91" s="62"/>
      <c r="G91" s="62"/>
      <c r="H91" s="62"/>
      <c r="I91" s="62"/>
      <c r="J91" s="62"/>
    </row>
  </sheetData>
  <mergeCells count="1">
    <mergeCell ref="C9:I12"/>
  </mergeCells>
  <phoneticPr fontId="22" type="noConversion"/>
  <conditionalFormatting sqref="D66">
    <cfRule type="cellIs" dxfId="0" priority="3" stopIfTrue="1" operator="lessThan">
      <formula>0</formula>
    </cfRule>
  </conditionalFormatting>
  <pageMargins left="0.7" right="0.7" top="0.75" bottom="0.75" header="0.3" footer="0.3"/>
  <pageSetup paperSize="9" scale="80" orientation="portrait" r:id="rId1"/>
  <rowBreaks count="1" manualBreakCount="1">
    <brk id="59" min="2" max="9" man="1"/>
  </rowBreaks>
  <colBreaks count="1" manualBreakCount="1">
    <brk id="9" min="2" max="9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S102"/>
  <sheetViews>
    <sheetView zoomScaleSheetLayoutView="100" workbookViewId="0">
      <pane xSplit="3" ySplit="6" topLeftCell="I82" activePane="bottomRight" state="frozen"/>
      <selection pane="topRight" activeCell="C1" sqref="C1"/>
      <selection pane="bottomLeft" activeCell="A5" sqref="A5"/>
      <selection pane="bottomRight" activeCell="R41" sqref="R41"/>
    </sheetView>
  </sheetViews>
  <sheetFormatPr defaultRowHeight="12" x14ac:dyDescent="0.2"/>
  <cols>
    <col min="1" max="1" width="2.7109375" style="4" customWidth="1"/>
    <col min="2" max="2" width="2.42578125" style="4" customWidth="1"/>
    <col min="3" max="3" width="44.42578125" style="4" customWidth="1"/>
    <col min="4" max="5" width="10.42578125" style="4" bestFit="1" customWidth="1"/>
    <col min="6" max="6" width="11.42578125" style="4" customWidth="1"/>
    <col min="7" max="7" width="11.140625" style="4" customWidth="1"/>
    <col min="8" max="15" width="11.140625" style="4" bestFit="1" customWidth="1"/>
    <col min="16" max="16" width="10.28515625" style="4" customWidth="1"/>
    <col min="17" max="18" width="12.42578125" style="5" customWidth="1"/>
    <col min="19" max="19" width="24" style="4" customWidth="1"/>
    <col min="20" max="16384" width="9.140625" style="4"/>
  </cols>
  <sheetData>
    <row r="3" spans="3:19" ht="15" x14ac:dyDescent="0.25">
      <c r="C3" s="2" t="s">
        <v>40</v>
      </c>
    </row>
    <row r="4" spans="3:19" ht="15" x14ac:dyDescent="0.25">
      <c r="C4" s="2"/>
    </row>
    <row r="6" spans="3:19" ht="10.5" customHeight="1" x14ac:dyDescent="0.2">
      <c r="C6" s="18"/>
      <c r="D6" s="19" t="s">
        <v>99</v>
      </c>
      <c r="E6" s="19" t="s">
        <v>100</v>
      </c>
      <c r="F6" s="19" t="s">
        <v>102</v>
      </c>
      <c r="G6" s="19" t="s">
        <v>103</v>
      </c>
      <c r="H6" s="19" t="s">
        <v>104</v>
      </c>
      <c r="I6" s="19" t="s">
        <v>105</v>
      </c>
      <c r="J6" s="19" t="s">
        <v>106</v>
      </c>
      <c r="K6" s="19" t="s">
        <v>107</v>
      </c>
      <c r="L6" s="19" t="s">
        <v>108</v>
      </c>
      <c r="M6" s="19" t="s">
        <v>109</v>
      </c>
      <c r="N6" s="19" t="s">
        <v>110</v>
      </c>
      <c r="O6" s="19" t="s">
        <v>111</v>
      </c>
      <c r="P6" s="29"/>
      <c r="Q6" s="24" t="s">
        <v>58</v>
      </c>
      <c r="R6" s="24" t="s">
        <v>59</v>
      </c>
      <c r="S6" s="24" t="s">
        <v>128</v>
      </c>
    </row>
    <row r="7" spans="3:19" ht="12.75" customHeight="1" x14ac:dyDescent="0.2">
      <c r="C7" s="58" t="s">
        <v>30</v>
      </c>
      <c r="D7" s="59">
        <f t="shared" ref="D7:O7" si="0">SUM(D8:D9)</f>
        <v>200000</v>
      </c>
      <c r="E7" s="59">
        <f t="shared" si="0"/>
        <v>400000</v>
      </c>
      <c r="F7" s="59">
        <f t="shared" si="0"/>
        <v>400000</v>
      </c>
      <c r="G7" s="59">
        <f t="shared" si="0"/>
        <v>600000</v>
      </c>
      <c r="H7" s="59">
        <f t="shared" si="0"/>
        <v>800000</v>
      </c>
      <c r="I7" s="59">
        <f t="shared" si="0"/>
        <v>800000</v>
      </c>
      <c r="J7" s="59">
        <f t="shared" si="0"/>
        <v>1000000</v>
      </c>
      <c r="K7" s="59">
        <f t="shared" si="0"/>
        <v>1000000</v>
      </c>
      <c r="L7" s="59">
        <f t="shared" si="0"/>
        <v>1000000</v>
      </c>
      <c r="M7" s="59">
        <f t="shared" si="0"/>
        <v>1000000</v>
      </c>
      <c r="N7" s="59">
        <f t="shared" si="0"/>
        <v>1000000</v>
      </c>
      <c r="O7" s="59">
        <f t="shared" si="0"/>
        <v>1000000</v>
      </c>
      <c r="P7" s="9"/>
      <c r="Q7" s="59">
        <f>SUM(Q8:Q9)</f>
        <v>9200000</v>
      </c>
      <c r="R7" s="59">
        <v>12000000</v>
      </c>
      <c r="S7" s="26">
        <f>R7/Q7-1</f>
        <v>0.30434782608695654</v>
      </c>
    </row>
    <row r="8" spans="3:19" ht="17.25" customHeight="1" x14ac:dyDescent="0.2">
      <c r="C8" s="17" t="s">
        <v>113</v>
      </c>
      <c r="D8" s="9">
        <f>Доходы!D10</f>
        <v>200000</v>
      </c>
      <c r="E8" s="9">
        <f>Доходы!E10</f>
        <v>400000</v>
      </c>
      <c r="F8" s="9">
        <f>Доходы!F10</f>
        <v>400000</v>
      </c>
      <c r="G8" s="9">
        <f>Доходы!G10</f>
        <v>600000</v>
      </c>
      <c r="H8" s="9">
        <f>Доходы!H10</f>
        <v>800000</v>
      </c>
      <c r="I8" s="9">
        <f>Доходы!I10</f>
        <v>800000</v>
      </c>
      <c r="J8" s="9">
        <f>Доходы!J10</f>
        <v>1000000</v>
      </c>
      <c r="K8" s="9">
        <f>Доходы!K10</f>
        <v>1000000</v>
      </c>
      <c r="L8" s="9">
        <f>Доходы!L10</f>
        <v>1000000</v>
      </c>
      <c r="M8" s="9">
        <f>Доходы!M10</f>
        <v>1000000</v>
      </c>
      <c r="N8" s="9">
        <f>Доходы!N10</f>
        <v>1000000</v>
      </c>
      <c r="O8" s="9">
        <f>Доходы!O10</f>
        <v>1000000</v>
      </c>
      <c r="P8" s="9"/>
      <c r="Q8" s="9">
        <f>SUM(D8:O8)</f>
        <v>9200000</v>
      </c>
      <c r="R8" s="9">
        <f>Доходы!R10</f>
        <v>12000000</v>
      </c>
      <c r="S8" s="26"/>
    </row>
    <row r="9" spans="3:19" x14ac:dyDescent="0.2">
      <c r="C9" s="17" t="s">
        <v>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f>SUM(D9:O9)</f>
        <v>0</v>
      </c>
      <c r="R9" s="9"/>
      <c r="S9" s="57"/>
    </row>
    <row r="10" spans="3:19" x14ac:dyDescent="0.2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9"/>
      <c r="S10" s="57"/>
    </row>
    <row r="11" spans="3:19" x14ac:dyDescent="0.2">
      <c r="C11" s="5" t="s">
        <v>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9"/>
      <c r="R11" s="9"/>
      <c r="S11" s="57"/>
    </row>
    <row r="12" spans="3:19" x14ac:dyDescent="0.2"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9"/>
      <c r="R12" s="9"/>
      <c r="S12" s="57"/>
    </row>
    <row r="13" spans="3:19" x14ac:dyDescent="0.2">
      <c r="C13" s="17" t="s">
        <v>114</v>
      </c>
      <c r="D13" s="9">
        <v>40000</v>
      </c>
      <c r="E13" s="9">
        <f>Себестоимость!E9</f>
        <v>80000</v>
      </c>
      <c r="F13" s="9">
        <f>Себестоимость!F9</f>
        <v>80000</v>
      </c>
      <c r="G13" s="9">
        <f>Себестоимость!G9</f>
        <v>120000</v>
      </c>
      <c r="H13" s="9">
        <f>Себестоимость!H9</f>
        <v>160000</v>
      </c>
      <c r="I13" s="9">
        <f>Себестоимость!I9</f>
        <v>160000</v>
      </c>
      <c r="J13" s="9">
        <f>Себестоимость!J9</f>
        <v>200000</v>
      </c>
      <c r="K13" s="9">
        <f>Себестоимость!K9</f>
        <v>200000</v>
      </c>
      <c r="L13" s="9">
        <f>Себестоимость!L9</f>
        <v>200000</v>
      </c>
      <c r="M13" s="9">
        <f>Себестоимость!M9</f>
        <v>200000</v>
      </c>
      <c r="N13" s="9">
        <f>Себестоимость!N9</f>
        <v>200000</v>
      </c>
      <c r="O13" s="9">
        <f>Себестоимость!O9</f>
        <v>200000</v>
      </c>
      <c r="P13" s="9"/>
      <c r="Q13" s="9">
        <f>SUM(D13:O13)</f>
        <v>1840000</v>
      </c>
      <c r="R13" s="9">
        <f>Себестоимость!R14</f>
        <v>2400000</v>
      </c>
      <c r="S13" s="26"/>
    </row>
    <row r="14" spans="3:19" x14ac:dyDescent="0.2">
      <c r="C14" s="1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3:19" x14ac:dyDescent="0.2">
      <c r="C15" s="1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3:19" x14ac:dyDescent="0.2">
      <c r="C16" s="7" t="s">
        <v>26</v>
      </c>
      <c r="D16" s="8">
        <f t="shared" ref="D16:O16" si="1">SUM(D13:D13)</f>
        <v>40000</v>
      </c>
      <c r="E16" s="8">
        <f t="shared" si="1"/>
        <v>80000</v>
      </c>
      <c r="F16" s="8">
        <f t="shared" si="1"/>
        <v>80000</v>
      </c>
      <c r="G16" s="8">
        <f t="shared" si="1"/>
        <v>120000</v>
      </c>
      <c r="H16" s="8">
        <f t="shared" si="1"/>
        <v>160000</v>
      </c>
      <c r="I16" s="8">
        <f t="shared" si="1"/>
        <v>160000</v>
      </c>
      <c r="J16" s="8">
        <f t="shared" si="1"/>
        <v>200000</v>
      </c>
      <c r="K16" s="8">
        <f t="shared" si="1"/>
        <v>200000</v>
      </c>
      <c r="L16" s="8">
        <f t="shared" si="1"/>
        <v>200000</v>
      </c>
      <c r="M16" s="8">
        <f t="shared" si="1"/>
        <v>200000</v>
      </c>
      <c r="N16" s="8">
        <f t="shared" si="1"/>
        <v>200000</v>
      </c>
      <c r="O16" s="8">
        <f t="shared" si="1"/>
        <v>200000</v>
      </c>
      <c r="P16" s="8"/>
      <c r="Q16" s="8">
        <f>SUM(Q13:Q13)</f>
        <v>1840000</v>
      </c>
      <c r="R16" s="8">
        <f>SUM(R13:R13)</f>
        <v>2400000</v>
      </c>
      <c r="S16" s="26">
        <f>R16/Q16-1</f>
        <v>0.30434782608695654</v>
      </c>
    </row>
    <row r="17" spans="3:19" x14ac:dyDescent="0.2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9"/>
      <c r="R17" s="9"/>
    </row>
    <row r="18" spans="3:19" s="5" customFormat="1" x14ac:dyDescent="0.2">
      <c r="C18" s="58" t="s">
        <v>28</v>
      </c>
      <c r="D18" s="59">
        <f t="shared" ref="D18:O18" si="2">D7-D16</f>
        <v>160000</v>
      </c>
      <c r="E18" s="59">
        <f t="shared" si="2"/>
        <v>320000</v>
      </c>
      <c r="F18" s="59">
        <f t="shared" si="2"/>
        <v>320000</v>
      </c>
      <c r="G18" s="59">
        <f t="shared" si="2"/>
        <v>480000</v>
      </c>
      <c r="H18" s="59">
        <f t="shared" si="2"/>
        <v>640000</v>
      </c>
      <c r="I18" s="59">
        <f t="shared" si="2"/>
        <v>640000</v>
      </c>
      <c r="J18" s="59">
        <f t="shared" si="2"/>
        <v>800000</v>
      </c>
      <c r="K18" s="59">
        <f t="shared" si="2"/>
        <v>800000</v>
      </c>
      <c r="L18" s="59">
        <f t="shared" si="2"/>
        <v>800000</v>
      </c>
      <c r="M18" s="59">
        <f t="shared" si="2"/>
        <v>800000</v>
      </c>
      <c r="N18" s="59">
        <f t="shared" si="2"/>
        <v>800000</v>
      </c>
      <c r="O18" s="59">
        <f t="shared" si="2"/>
        <v>800000</v>
      </c>
      <c r="P18" s="9"/>
      <c r="Q18" s="59">
        <f>Q7-Q16</f>
        <v>7360000</v>
      </c>
      <c r="R18" s="59">
        <f>R7-R16</f>
        <v>9600000</v>
      </c>
      <c r="S18" s="26">
        <f>R18/Q18-1</f>
        <v>0.30434782608695654</v>
      </c>
    </row>
    <row r="19" spans="3:19" s="20" customFormat="1" x14ac:dyDescent="0.2">
      <c r="C19" s="20" t="s">
        <v>29</v>
      </c>
      <c r="D19" s="21">
        <f t="shared" ref="D19:O19" si="3">D18/D7</f>
        <v>0.8</v>
      </c>
      <c r="E19" s="21">
        <f t="shared" si="3"/>
        <v>0.8</v>
      </c>
      <c r="F19" s="21">
        <f t="shared" si="3"/>
        <v>0.8</v>
      </c>
      <c r="G19" s="21">
        <f t="shared" si="3"/>
        <v>0.8</v>
      </c>
      <c r="H19" s="21">
        <f t="shared" si="3"/>
        <v>0.8</v>
      </c>
      <c r="I19" s="21">
        <f t="shared" si="3"/>
        <v>0.8</v>
      </c>
      <c r="J19" s="21">
        <f t="shared" si="3"/>
        <v>0.8</v>
      </c>
      <c r="K19" s="21">
        <f t="shared" si="3"/>
        <v>0.8</v>
      </c>
      <c r="L19" s="21">
        <f t="shared" si="3"/>
        <v>0.8</v>
      </c>
      <c r="M19" s="21">
        <f t="shared" si="3"/>
        <v>0.8</v>
      </c>
      <c r="N19" s="21">
        <f t="shared" si="3"/>
        <v>0.8</v>
      </c>
      <c r="O19" s="21">
        <f t="shared" si="3"/>
        <v>0.8</v>
      </c>
      <c r="P19" s="21"/>
      <c r="Q19" s="21">
        <f>Q18/Q7</f>
        <v>0.8</v>
      </c>
      <c r="R19" s="21">
        <f>R18/R7</f>
        <v>0.8</v>
      </c>
    </row>
    <row r="20" spans="3:19" s="20" customFormat="1" x14ac:dyDescent="0.2"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6"/>
      <c r="R20" s="26"/>
    </row>
    <row r="21" spans="3:19" s="20" customFormat="1" x14ac:dyDescent="0.2"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6"/>
      <c r="R21" s="26"/>
    </row>
    <row r="22" spans="3:19" x14ac:dyDescent="0.2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9"/>
      <c r="R22" s="9"/>
    </row>
    <row r="23" spans="3:19" x14ac:dyDescent="0.2">
      <c r="C23" s="5" t="s">
        <v>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9"/>
      <c r="R23" s="9"/>
    </row>
    <row r="25" spans="3:19" x14ac:dyDescent="0.2">
      <c r="C25" s="17" t="str">
        <f>'Операционные расходы'!C40</f>
        <v>Расходы на развитие и прочие расходы 3% от оборота</v>
      </c>
      <c r="D25" s="9">
        <f>'Операционные расходы'!E40</f>
        <v>6000</v>
      </c>
      <c r="E25" s="9">
        <f>'Операционные расходы'!F40</f>
        <v>12000</v>
      </c>
      <c r="F25" s="9">
        <f>'Операционные расходы'!G40</f>
        <v>12000</v>
      </c>
      <c r="G25" s="9">
        <f>'Операционные расходы'!H40</f>
        <v>18000</v>
      </c>
      <c r="H25" s="9">
        <f>'Операционные расходы'!I40</f>
        <v>24000</v>
      </c>
      <c r="I25" s="9">
        <f>'Операционные расходы'!J40</f>
        <v>24000</v>
      </c>
      <c r="J25" s="9">
        <f>'Операционные расходы'!K40</f>
        <v>30000</v>
      </c>
      <c r="K25" s="9">
        <f>'Операционные расходы'!L40</f>
        <v>30000</v>
      </c>
      <c r="L25" s="9">
        <f>'Операционные расходы'!M40</f>
        <v>30000</v>
      </c>
      <c r="M25" s="9">
        <f>'Операционные расходы'!N40</f>
        <v>30000</v>
      </c>
      <c r="N25" s="9">
        <f>'Операционные расходы'!O40</f>
        <v>30000</v>
      </c>
      <c r="O25" s="9">
        <f>'Операционные расходы'!P40</f>
        <v>30000</v>
      </c>
      <c r="P25" s="9"/>
      <c r="Q25" s="9">
        <f>SUM(D25:O25)</f>
        <v>276000</v>
      </c>
      <c r="R25" s="9">
        <f>'Операционные расходы'!S40</f>
        <v>360000</v>
      </c>
    </row>
    <row r="26" spans="3:19" x14ac:dyDescent="0.2">
      <c r="C26" s="7" t="s">
        <v>2</v>
      </c>
      <c r="D26" s="8">
        <f>D25</f>
        <v>6000</v>
      </c>
      <c r="E26" s="8">
        <f>E25</f>
        <v>12000</v>
      </c>
      <c r="F26" s="8">
        <f t="shared" ref="F26:O26" si="4">F25</f>
        <v>12000</v>
      </c>
      <c r="G26" s="8">
        <f t="shared" si="4"/>
        <v>18000</v>
      </c>
      <c r="H26" s="8">
        <f t="shared" si="4"/>
        <v>24000</v>
      </c>
      <c r="I26" s="8">
        <f t="shared" si="4"/>
        <v>24000</v>
      </c>
      <c r="J26" s="8">
        <f t="shared" si="4"/>
        <v>30000</v>
      </c>
      <c r="K26" s="8">
        <f t="shared" si="4"/>
        <v>30000</v>
      </c>
      <c r="L26" s="8">
        <f t="shared" si="4"/>
        <v>30000</v>
      </c>
      <c r="M26" s="8">
        <f t="shared" si="4"/>
        <v>30000</v>
      </c>
      <c r="N26" s="8">
        <f t="shared" si="4"/>
        <v>30000</v>
      </c>
      <c r="O26" s="8">
        <f t="shared" si="4"/>
        <v>30000</v>
      </c>
      <c r="P26" s="8"/>
      <c r="Q26" s="8">
        <f>SUM(D26:O26)</f>
        <v>276000</v>
      </c>
      <c r="R26" s="8">
        <f>R25</f>
        <v>360000</v>
      </c>
      <c r="S26" s="9"/>
    </row>
    <row r="27" spans="3:19" x14ac:dyDescent="0.2">
      <c r="C27" s="17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9" spans="3:19" x14ac:dyDescent="0.2">
      <c r="C29" s="16" t="s">
        <v>6</v>
      </c>
      <c r="D29" s="6">
        <f>'Операционные расходы'!E5</f>
        <v>34000</v>
      </c>
      <c r="E29" s="6">
        <f>'Операционные расходы'!F5</f>
        <v>68000</v>
      </c>
      <c r="F29" s="6">
        <f>'Операционные расходы'!G5</f>
        <v>68000</v>
      </c>
      <c r="G29" s="6">
        <f>'Операционные расходы'!H5</f>
        <v>102000</v>
      </c>
      <c r="H29" s="6">
        <f>'Операционные расходы'!I5</f>
        <v>136000</v>
      </c>
      <c r="I29" s="6">
        <f>'Операционные расходы'!J5</f>
        <v>136000</v>
      </c>
      <c r="J29" s="6">
        <f>'Операционные расходы'!K5</f>
        <v>170000</v>
      </c>
      <c r="K29" s="6">
        <f>'Операционные расходы'!L5</f>
        <v>170000</v>
      </c>
      <c r="L29" s="6">
        <f>'Операционные расходы'!M5</f>
        <v>170000</v>
      </c>
      <c r="M29" s="6">
        <f>'Операционные расходы'!N5</f>
        <v>170000</v>
      </c>
      <c r="N29" s="6">
        <f>'Операционные расходы'!O5</f>
        <v>170000</v>
      </c>
      <c r="O29" s="6">
        <f>'Операционные расходы'!P5</f>
        <v>170000</v>
      </c>
      <c r="P29" s="6"/>
      <c r="Q29" s="25">
        <f t="shared" ref="Q29:Q41" si="5">SUM(D29:O29)</f>
        <v>1564000</v>
      </c>
      <c r="R29" s="25">
        <f>'Операционные расходы'!S8</f>
        <v>2040000</v>
      </c>
    </row>
    <row r="30" spans="3:19" x14ac:dyDescent="0.2">
      <c r="C30" s="16" t="s">
        <v>7</v>
      </c>
      <c r="D30" s="6">
        <f>'Операционные расходы'!E6</f>
        <v>0</v>
      </c>
      <c r="E30" s="6">
        <f>'Операционные расходы'!F6</f>
        <v>0</v>
      </c>
      <c r="F30" s="6">
        <f>'Операционные расходы'!G6</f>
        <v>0</v>
      </c>
      <c r="G30" s="6">
        <f>'Операционные расходы'!H6</f>
        <v>0</v>
      </c>
      <c r="H30" s="6">
        <f>'Операционные расходы'!I6</f>
        <v>0</v>
      </c>
      <c r="I30" s="6">
        <f>'Операционные расходы'!J6</f>
        <v>0</v>
      </c>
      <c r="J30" s="6">
        <f>'Операционные расходы'!K6</f>
        <v>0</v>
      </c>
      <c r="K30" s="6">
        <f>'Операционные расходы'!L6</f>
        <v>0</v>
      </c>
      <c r="L30" s="6">
        <f>'Операционные расходы'!M6</f>
        <v>0</v>
      </c>
      <c r="M30" s="6">
        <f>'Операционные расходы'!N6</f>
        <v>0</v>
      </c>
      <c r="N30" s="6">
        <f>'Операционные расходы'!O6</f>
        <v>0</v>
      </c>
      <c r="O30" s="6">
        <f>'Операционные расходы'!P6</f>
        <v>0</v>
      </c>
      <c r="P30" s="6"/>
      <c r="Q30" s="25">
        <f t="shared" si="5"/>
        <v>0</v>
      </c>
      <c r="R30" s="156" t="s">
        <v>130</v>
      </c>
    </row>
    <row r="31" spans="3:19" x14ac:dyDescent="0.2">
      <c r="C31" s="16" t="s">
        <v>8</v>
      </c>
      <c r="D31" s="6">
        <f>'Операционные расходы'!E7</f>
        <v>0</v>
      </c>
      <c r="E31" s="6">
        <f>'Операционные расходы'!F7</f>
        <v>0</v>
      </c>
      <c r="F31" s="6">
        <f>'Операционные расходы'!G7</f>
        <v>0</v>
      </c>
      <c r="G31" s="6">
        <f>'Операционные расходы'!H7</f>
        <v>0</v>
      </c>
      <c r="H31" s="6">
        <f>'Операционные расходы'!I7</f>
        <v>0</v>
      </c>
      <c r="I31" s="6">
        <f>'Операционные расходы'!J7</f>
        <v>0</v>
      </c>
      <c r="J31" s="6">
        <f>'Операционные расходы'!K7</f>
        <v>0</v>
      </c>
      <c r="K31" s="6">
        <f>'Операционные расходы'!L7</f>
        <v>0</v>
      </c>
      <c r="L31" s="6">
        <f>'Операционные расходы'!M7</f>
        <v>0</v>
      </c>
      <c r="M31" s="6">
        <f>'Операционные расходы'!N7</f>
        <v>0</v>
      </c>
      <c r="N31" s="6">
        <f>'Операционные расходы'!O7</f>
        <v>0</v>
      </c>
      <c r="O31" s="6">
        <f>'Операционные расходы'!P7</f>
        <v>0</v>
      </c>
      <c r="P31" s="6"/>
      <c r="Q31" s="25">
        <f t="shared" si="5"/>
        <v>0</v>
      </c>
      <c r="R31" s="156" t="s">
        <v>130</v>
      </c>
    </row>
    <row r="32" spans="3:19" x14ac:dyDescent="0.2">
      <c r="C32" s="17" t="s">
        <v>9</v>
      </c>
      <c r="D32" s="9">
        <f>SUM(D29:D31)</f>
        <v>34000</v>
      </c>
      <c r="E32" s="9">
        <f t="shared" ref="E32:O32" si="6">SUM(E29:E31)</f>
        <v>68000</v>
      </c>
      <c r="F32" s="9">
        <f t="shared" si="6"/>
        <v>68000</v>
      </c>
      <c r="G32" s="9">
        <f t="shared" si="6"/>
        <v>102000</v>
      </c>
      <c r="H32" s="9">
        <f t="shared" si="6"/>
        <v>136000</v>
      </c>
      <c r="I32" s="9">
        <f t="shared" si="6"/>
        <v>136000</v>
      </c>
      <c r="J32" s="9">
        <f t="shared" si="6"/>
        <v>170000</v>
      </c>
      <c r="K32" s="9">
        <f t="shared" si="6"/>
        <v>170000</v>
      </c>
      <c r="L32" s="9">
        <f t="shared" si="6"/>
        <v>170000</v>
      </c>
      <c r="M32" s="9">
        <f t="shared" si="6"/>
        <v>170000</v>
      </c>
      <c r="N32" s="9">
        <f t="shared" si="6"/>
        <v>170000</v>
      </c>
      <c r="O32" s="9">
        <f t="shared" si="6"/>
        <v>170000</v>
      </c>
      <c r="P32" s="9"/>
      <c r="Q32" s="9">
        <f>SUM(D32:O32)</f>
        <v>1564000</v>
      </c>
      <c r="R32" s="9">
        <f>SUM(R29:R31)</f>
        <v>2040000</v>
      </c>
    </row>
    <row r="33" spans="3:19" x14ac:dyDescent="0.2">
      <c r="C33" s="16" t="s">
        <v>10</v>
      </c>
      <c r="D33" s="6">
        <f>'Операционные расходы'!E9</f>
        <v>10000</v>
      </c>
      <c r="E33" s="6">
        <f>'Операционные расходы'!F9</f>
        <v>20000</v>
      </c>
      <c r="F33" s="6">
        <f>'Операционные расходы'!G9</f>
        <v>20000</v>
      </c>
      <c r="G33" s="6">
        <f>'Операционные расходы'!H9</f>
        <v>30000</v>
      </c>
      <c r="H33" s="6">
        <f>'Операционные расходы'!I9</f>
        <v>40000</v>
      </c>
      <c r="I33" s="6">
        <f>'Операционные расходы'!J9</f>
        <v>40000</v>
      </c>
      <c r="J33" s="6">
        <f>'Операционные расходы'!K9</f>
        <v>50000</v>
      </c>
      <c r="K33" s="6">
        <f>'Операционные расходы'!L9</f>
        <v>50000</v>
      </c>
      <c r="L33" s="6">
        <f>'Операционные расходы'!M9</f>
        <v>50000</v>
      </c>
      <c r="M33" s="6">
        <f>'Операционные расходы'!N9</f>
        <v>50000</v>
      </c>
      <c r="N33" s="6">
        <f>'Операционные расходы'!O9</f>
        <v>50000</v>
      </c>
      <c r="O33" s="6">
        <f>'Операционные расходы'!P9</f>
        <v>50000</v>
      </c>
      <c r="P33" s="6"/>
      <c r="Q33" s="25">
        <f t="shared" si="5"/>
        <v>460000</v>
      </c>
      <c r="R33" s="25">
        <f>'Операционные расходы'!S9</f>
        <v>600000</v>
      </c>
    </row>
    <row r="34" spans="3:19" x14ac:dyDescent="0.2">
      <c r="C34" s="16" t="s">
        <v>11</v>
      </c>
      <c r="D34" s="6">
        <f>'Операционные расходы'!E10</f>
        <v>0</v>
      </c>
      <c r="E34" s="6">
        <f>'Операционные расходы'!F10</f>
        <v>0</v>
      </c>
      <c r="F34" s="6">
        <f>'Операционные расходы'!G10</f>
        <v>0</v>
      </c>
      <c r="G34" s="6">
        <f>'Операционные расходы'!H10</f>
        <v>0</v>
      </c>
      <c r="H34" s="6">
        <f>'Операционные расходы'!I10</f>
        <v>0</v>
      </c>
      <c r="I34" s="6">
        <f>'Операционные расходы'!J10</f>
        <v>0</v>
      </c>
      <c r="J34" s="6">
        <f>'Операционные расходы'!K10</f>
        <v>0</v>
      </c>
      <c r="K34" s="6">
        <f>'Операционные расходы'!L10</f>
        <v>0</v>
      </c>
      <c r="L34" s="6">
        <f>'Операционные расходы'!M10</f>
        <v>0</v>
      </c>
      <c r="M34" s="6">
        <f>'Операционные расходы'!N10</f>
        <v>0</v>
      </c>
      <c r="N34" s="6">
        <f>'Операционные расходы'!O10</f>
        <v>0</v>
      </c>
      <c r="O34" s="6">
        <f>'Операционные расходы'!P10</f>
        <v>0</v>
      </c>
      <c r="P34" s="6"/>
      <c r="Q34" s="25">
        <f t="shared" si="5"/>
        <v>0</v>
      </c>
      <c r="R34" s="156" t="s">
        <v>130</v>
      </c>
    </row>
    <row r="35" spans="3:19" x14ac:dyDescent="0.2">
      <c r="C35" s="16" t="s">
        <v>12</v>
      </c>
      <c r="D35" s="6">
        <f>'Операционные расходы'!E11</f>
        <v>0</v>
      </c>
      <c r="E35" s="6">
        <f>'Операционные расходы'!F11</f>
        <v>0</v>
      </c>
      <c r="F35" s="6">
        <f>'Операционные расходы'!G11</f>
        <v>0</v>
      </c>
      <c r="G35" s="6">
        <f>'Операционные расходы'!H11</f>
        <v>0</v>
      </c>
      <c r="H35" s="6">
        <f>'Операционные расходы'!I11</f>
        <v>0</v>
      </c>
      <c r="I35" s="6">
        <f>'Операционные расходы'!J11</f>
        <v>0</v>
      </c>
      <c r="J35" s="6">
        <f>'Операционные расходы'!K11</f>
        <v>0</v>
      </c>
      <c r="K35" s="6">
        <f>'Операционные расходы'!L11</f>
        <v>0</v>
      </c>
      <c r="L35" s="6">
        <f>'Операционные расходы'!M11</f>
        <v>0</v>
      </c>
      <c r="M35" s="6">
        <f>'Операционные расходы'!N11</f>
        <v>0</v>
      </c>
      <c r="N35" s="6">
        <f>'Операционные расходы'!O11</f>
        <v>0</v>
      </c>
      <c r="O35" s="6">
        <f>'Операционные расходы'!P11</f>
        <v>0</v>
      </c>
      <c r="P35" s="6"/>
      <c r="Q35" s="25">
        <f t="shared" si="5"/>
        <v>0</v>
      </c>
      <c r="R35" s="156" t="s">
        <v>130</v>
      </c>
    </row>
    <row r="36" spans="3:19" x14ac:dyDescent="0.2">
      <c r="C36" s="17" t="s">
        <v>13</v>
      </c>
      <c r="D36" s="9">
        <f>SUM(D33:D35)</f>
        <v>10000</v>
      </c>
      <c r="E36" s="9">
        <f t="shared" ref="E36:O36" si="7">SUM(E33:E35)</f>
        <v>20000</v>
      </c>
      <c r="F36" s="9">
        <f t="shared" si="7"/>
        <v>20000</v>
      </c>
      <c r="G36" s="9">
        <f t="shared" si="7"/>
        <v>30000</v>
      </c>
      <c r="H36" s="9">
        <f t="shared" si="7"/>
        <v>40000</v>
      </c>
      <c r="I36" s="9">
        <f t="shared" si="7"/>
        <v>40000</v>
      </c>
      <c r="J36" s="9">
        <f t="shared" si="7"/>
        <v>50000</v>
      </c>
      <c r="K36" s="9">
        <f t="shared" si="7"/>
        <v>50000</v>
      </c>
      <c r="L36" s="9">
        <f t="shared" si="7"/>
        <v>50000</v>
      </c>
      <c r="M36" s="9">
        <f t="shared" si="7"/>
        <v>50000</v>
      </c>
      <c r="N36" s="9">
        <f t="shared" si="7"/>
        <v>50000</v>
      </c>
      <c r="O36" s="9">
        <f t="shared" si="7"/>
        <v>50000</v>
      </c>
      <c r="P36" s="9"/>
      <c r="Q36" s="9">
        <f t="shared" si="5"/>
        <v>460000</v>
      </c>
      <c r="R36" s="9">
        <f>SUM(R33:R35)</f>
        <v>600000</v>
      </c>
    </row>
    <row r="37" spans="3:19" x14ac:dyDescent="0.2">
      <c r="C37" s="16" t="s">
        <v>14</v>
      </c>
      <c r="D37" s="6">
        <f>'Операционные расходы'!E13</f>
        <v>20000</v>
      </c>
      <c r="E37" s="6">
        <f>'Операционные расходы'!F13</f>
        <v>30000</v>
      </c>
      <c r="F37" s="6">
        <f>'Операционные расходы'!G13</f>
        <v>30000</v>
      </c>
      <c r="G37" s="6">
        <f>'Операционные расходы'!H13</f>
        <v>40000</v>
      </c>
      <c r="H37" s="6">
        <f>'Операционные расходы'!I13</f>
        <v>40000</v>
      </c>
      <c r="I37" s="6">
        <f>'Операционные расходы'!J13</f>
        <v>40000</v>
      </c>
      <c r="J37" s="6">
        <f>'Операционные расходы'!K13</f>
        <v>50000</v>
      </c>
      <c r="K37" s="6">
        <f>'Операционные расходы'!L13</f>
        <v>50000</v>
      </c>
      <c r="L37" s="6">
        <f>'Операционные расходы'!M13</f>
        <v>50000</v>
      </c>
      <c r="M37" s="6">
        <f>'Операционные расходы'!N13</f>
        <v>50000</v>
      </c>
      <c r="N37" s="6">
        <f>'Операционные расходы'!O13</f>
        <v>50000</v>
      </c>
      <c r="O37" s="6">
        <f>'Операционные расходы'!P13</f>
        <v>50000</v>
      </c>
      <c r="P37" s="6"/>
      <c r="Q37" s="25">
        <f t="shared" si="5"/>
        <v>500000</v>
      </c>
      <c r="R37" s="25">
        <f>'Операционные расходы'!S13</f>
        <v>600000</v>
      </c>
    </row>
    <row r="38" spans="3:19" x14ac:dyDescent="0.2">
      <c r="C38" s="16" t="s">
        <v>15</v>
      </c>
      <c r="D38" s="6">
        <f>'Операционные расходы'!E14</f>
        <v>0</v>
      </c>
      <c r="E38" s="6">
        <f>'Операционные расходы'!F14</f>
        <v>0</v>
      </c>
      <c r="F38" s="6">
        <f>'Операционные расходы'!G14</f>
        <v>0</v>
      </c>
      <c r="G38" s="6">
        <f>'Операционные расходы'!H14</f>
        <v>0</v>
      </c>
      <c r="H38" s="6">
        <f>'Операционные расходы'!I14</f>
        <v>0</v>
      </c>
      <c r="I38" s="6">
        <f>'Операционные расходы'!J14</f>
        <v>0</v>
      </c>
      <c r="J38" s="6">
        <f>'Операционные расходы'!K14</f>
        <v>0</v>
      </c>
      <c r="K38" s="6">
        <f>'Операционные расходы'!L14</f>
        <v>0</v>
      </c>
      <c r="L38" s="6">
        <f>'Операционные расходы'!M14</f>
        <v>0</v>
      </c>
      <c r="M38" s="6">
        <f>'Операционные расходы'!N14</f>
        <v>0</v>
      </c>
      <c r="N38" s="6">
        <f>'Операционные расходы'!O14</f>
        <v>0</v>
      </c>
      <c r="O38" s="6">
        <f>'Операционные расходы'!P14</f>
        <v>0</v>
      </c>
      <c r="P38" s="6"/>
      <c r="Q38" s="25">
        <f t="shared" si="5"/>
        <v>0</v>
      </c>
      <c r="R38" s="156" t="s">
        <v>130</v>
      </c>
    </row>
    <row r="39" spans="3:19" x14ac:dyDescent="0.2">
      <c r="C39" s="16" t="s">
        <v>16</v>
      </c>
      <c r="D39" s="6">
        <f>'Операционные расходы'!E15</f>
        <v>6800.0000000000009</v>
      </c>
      <c r="E39" s="6">
        <f>'Операционные расходы'!F15</f>
        <v>10200</v>
      </c>
      <c r="F39" s="6">
        <f>'Операционные расходы'!G15</f>
        <v>10200</v>
      </c>
      <c r="G39" s="6">
        <f>'Операционные расходы'!H15</f>
        <v>13600.000000000002</v>
      </c>
      <c r="H39" s="6">
        <f>'Операционные расходы'!I15</f>
        <v>13600.000000000002</v>
      </c>
      <c r="I39" s="6">
        <f>'Операционные расходы'!J15</f>
        <v>13600.000000000002</v>
      </c>
      <c r="J39" s="6">
        <f>'Операционные расходы'!K15</f>
        <v>17000</v>
      </c>
      <c r="K39" s="6">
        <f>'Операционные расходы'!L15</f>
        <v>17000</v>
      </c>
      <c r="L39" s="6">
        <f>'Операционные расходы'!M15</f>
        <v>17000</v>
      </c>
      <c r="M39" s="6">
        <f>'Операционные расходы'!N15</f>
        <v>17000</v>
      </c>
      <c r="N39" s="6">
        <f>'Операционные расходы'!O15</f>
        <v>17000</v>
      </c>
      <c r="O39" s="6">
        <f>'Операционные расходы'!P15</f>
        <v>17000</v>
      </c>
      <c r="P39" s="6"/>
      <c r="Q39" s="25">
        <f t="shared" si="5"/>
        <v>170000</v>
      </c>
      <c r="R39" s="156">
        <v>204000</v>
      </c>
    </row>
    <row r="40" spans="3:19" x14ac:dyDescent="0.2">
      <c r="C40" s="17" t="s">
        <v>17</v>
      </c>
      <c r="D40" s="9">
        <f>SUM(D37:D39)</f>
        <v>26800</v>
      </c>
      <c r="E40" s="9">
        <f t="shared" ref="E40:O40" si="8">SUM(E37:E39)</f>
        <v>40200</v>
      </c>
      <c r="F40" s="9">
        <f t="shared" si="8"/>
        <v>40200</v>
      </c>
      <c r="G40" s="9">
        <f t="shared" si="8"/>
        <v>53600</v>
      </c>
      <c r="H40" s="9">
        <f t="shared" si="8"/>
        <v>53600</v>
      </c>
      <c r="I40" s="9">
        <f t="shared" si="8"/>
        <v>53600</v>
      </c>
      <c r="J40" s="9">
        <f t="shared" si="8"/>
        <v>67000</v>
      </c>
      <c r="K40" s="9">
        <f t="shared" si="8"/>
        <v>67000</v>
      </c>
      <c r="L40" s="9">
        <f t="shared" si="8"/>
        <v>67000</v>
      </c>
      <c r="M40" s="9">
        <f t="shared" si="8"/>
        <v>67000</v>
      </c>
      <c r="N40" s="9">
        <f t="shared" si="8"/>
        <v>67000</v>
      </c>
      <c r="O40" s="9">
        <f t="shared" si="8"/>
        <v>67000</v>
      </c>
      <c r="P40" s="9"/>
      <c r="Q40" s="9">
        <f t="shared" si="5"/>
        <v>670000</v>
      </c>
      <c r="R40" s="9">
        <f>SUM(R37:R39)</f>
        <v>804000</v>
      </c>
    </row>
    <row r="41" spans="3:19" x14ac:dyDescent="0.2">
      <c r="C41" s="7" t="s">
        <v>5</v>
      </c>
      <c r="D41" s="8">
        <f>D32+D36+D40</f>
        <v>70800</v>
      </c>
      <c r="E41" s="8">
        <f t="shared" ref="E41:O41" si="9">E32+E36+E40</f>
        <v>128200</v>
      </c>
      <c r="F41" s="8">
        <f t="shared" si="9"/>
        <v>128200</v>
      </c>
      <c r="G41" s="8">
        <f t="shared" si="9"/>
        <v>185600</v>
      </c>
      <c r="H41" s="8">
        <f t="shared" si="9"/>
        <v>229600</v>
      </c>
      <c r="I41" s="8">
        <f t="shared" si="9"/>
        <v>229600</v>
      </c>
      <c r="J41" s="8">
        <f t="shared" si="9"/>
        <v>287000</v>
      </c>
      <c r="K41" s="8">
        <f t="shared" si="9"/>
        <v>287000</v>
      </c>
      <c r="L41" s="8">
        <f t="shared" si="9"/>
        <v>287000</v>
      </c>
      <c r="M41" s="8">
        <f t="shared" si="9"/>
        <v>287000</v>
      </c>
      <c r="N41" s="8">
        <f t="shared" si="9"/>
        <v>287000</v>
      </c>
      <c r="O41" s="8">
        <f t="shared" si="9"/>
        <v>287000</v>
      </c>
      <c r="P41" s="8"/>
      <c r="Q41" s="8">
        <f t="shared" si="5"/>
        <v>2694000</v>
      </c>
      <c r="R41" s="8">
        <f>R32+R36+R40</f>
        <v>3444000</v>
      </c>
      <c r="S41" s="9"/>
    </row>
    <row r="42" spans="3:19" x14ac:dyDescent="0.2">
      <c r="C42" s="17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4" spans="3:19" x14ac:dyDescent="0.2">
      <c r="C44" s="16" t="s">
        <v>19</v>
      </c>
      <c r="D44" s="10">
        <f>'Операционные расходы'!E34</f>
        <v>17500</v>
      </c>
      <c r="E44" s="10">
        <f>'Операционные расходы'!F34</f>
        <v>17500</v>
      </c>
      <c r="F44" s="10">
        <f>'Операционные расходы'!G34</f>
        <v>17500</v>
      </c>
      <c r="G44" s="10">
        <f>'Операционные расходы'!H34</f>
        <v>17500</v>
      </c>
      <c r="H44" s="10">
        <f>'Операционные расходы'!I34</f>
        <v>17500</v>
      </c>
      <c r="I44" s="10">
        <f>'Операционные расходы'!J34</f>
        <v>17500</v>
      </c>
      <c r="J44" s="10">
        <f>'Операционные расходы'!K34</f>
        <v>17500</v>
      </c>
      <c r="K44" s="10">
        <f>'Операционные расходы'!L34</f>
        <v>17500</v>
      </c>
      <c r="L44" s="10">
        <f>'Операционные расходы'!M34</f>
        <v>17500</v>
      </c>
      <c r="M44" s="10">
        <f>'Операционные расходы'!N34</f>
        <v>17500</v>
      </c>
      <c r="N44" s="10">
        <f>'Операционные расходы'!O34</f>
        <v>17500</v>
      </c>
      <c r="O44" s="10">
        <f>'Операционные расходы'!P34</f>
        <v>17500</v>
      </c>
      <c r="P44" s="6"/>
      <c r="Q44" s="25">
        <f t="shared" ref="Q44:Q50" si="10">SUM(D44:O44)</f>
        <v>210000</v>
      </c>
      <c r="R44" s="25">
        <f>'Операционные расходы'!S34</f>
        <v>210000</v>
      </c>
    </row>
    <row r="45" spans="3:19" x14ac:dyDescent="0.2">
      <c r="C45" s="16" t="s">
        <v>20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6"/>
      <c r="Q45" s="25">
        <f t="shared" si="10"/>
        <v>0</v>
      </c>
      <c r="R45" s="25"/>
    </row>
    <row r="46" spans="3:19" x14ac:dyDescent="0.2">
      <c r="C46" s="16" t="s">
        <v>21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6"/>
      <c r="Q46" s="25">
        <f t="shared" si="10"/>
        <v>0</v>
      </c>
      <c r="R46" s="25"/>
    </row>
    <row r="47" spans="3:19" s="5" customFormat="1" x14ac:dyDescent="0.2">
      <c r="C47" s="17" t="s">
        <v>25</v>
      </c>
      <c r="D47" s="9">
        <f>SUM(D44:D46)</f>
        <v>17500</v>
      </c>
      <c r="E47" s="9">
        <f t="shared" ref="E47:O47" si="11">SUM(E44:E46)</f>
        <v>17500</v>
      </c>
      <c r="F47" s="9">
        <f t="shared" si="11"/>
        <v>17500</v>
      </c>
      <c r="G47" s="9">
        <f t="shared" si="11"/>
        <v>17500</v>
      </c>
      <c r="H47" s="9">
        <f t="shared" si="11"/>
        <v>17500</v>
      </c>
      <c r="I47" s="9">
        <f t="shared" si="11"/>
        <v>17500</v>
      </c>
      <c r="J47" s="9">
        <f t="shared" si="11"/>
        <v>17500</v>
      </c>
      <c r="K47" s="9">
        <f t="shared" si="11"/>
        <v>17500</v>
      </c>
      <c r="L47" s="9">
        <f t="shared" si="11"/>
        <v>17500</v>
      </c>
      <c r="M47" s="9">
        <f t="shared" si="11"/>
        <v>17500</v>
      </c>
      <c r="N47" s="9">
        <f t="shared" si="11"/>
        <v>17500</v>
      </c>
      <c r="O47" s="9">
        <f t="shared" si="11"/>
        <v>17500</v>
      </c>
      <c r="P47" s="9"/>
      <c r="Q47" s="9">
        <f t="shared" si="10"/>
        <v>210000</v>
      </c>
      <c r="R47" s="9">
        <f>SUM(R44:R46)</f>
        <v>210000</v>
      </c>
    </row>
    <row r="48" spans="3:19" x14ac:dyDescent="0.2">
      <c r="C48" s="16" t="s">
        <v>24</v>
      </c>
      <c r="D48" s="47">
        <v>3000</v>
      </c>
      <c r="E48" s="47">
        <v>3000</v>
      </c>
      <c r="F48" s="47">
        <v>3000</v>
      </c>
      <c r="G48" s="47">
        <v>3000</v>
      </c>
      <c r="H48" s="47">
        <v>3000</v>
      </c>
      <c r="I48" s="47">
        <v>3000</v>
      </c>
      <c r="J48" s="47">
        <v>3000</v>
      </c>
      <c r="K48" s="47">
        <v>3000</v>
      </c>
      <c r="L48" s="47">
        <v>3000</v>
      </c>
      <c r="M48" s="47">
        <v>3000</v>
      </c>
      <c r="N48" s="47">
        <v>3000</v>
      </c>
      <c r="O48" s="47">
        <v>3000</v>
      </c>
      <c r="P48" s="6"/>
      <c r="Q48" s="25">
        <f t="shared" si="10"/>
        <v>36000</v>
      </c>
      <c r="R48" s="25">
        <f>'Операционные расходы'!S42</f>
        <v>36000</v>
      </c>
    </row>
    <row r="49" spans="3:19" s="5" customFormat="1" x14ac:dyDescent="0.2">
      <c r="C49" s="17" t="s">
        <v>125</v>
      </c>
      <c r="D49" s="9">
        <f t="shared" ref="D49:O49" si="12">SUM(D48:D48)</f>
        <v>3000</v>
      </c>
      <c r="E49" s="9">
        <f t="shared" si="12"/>
        <v>3000</v>
      </c>
      <c r="F49" s="9">
        <f t="shared" si="12"/>
        <v>3000</v>
      </c>
      <c r="G49" s="9">
        <f t="shared" si="12"/>
        <v>3000</v>
      </c>
      <c r="H49" s="9">
        <f t="shared" si="12"/>
        <v>3000</v>
      </c>
      <c r="I49" s="9">
        <f t="shared" si="12"/>
        <v>3000</v>
      </c>
      <c r="J49" s="9">
        <f t="shared" si="12"/>
        <v>3000</v>
      </c>
      <c r="K49" s="9">
        <f t="shared" si="12"/>
        <v>3000</v>
      </c>
      <c r="L49" s="9">
        <f t="shared" si="12"/>
        <v>3000</v>
      </c>
      <c r="M49" s="9">
        <f t="shared" si="12"/>
        <v>3000</v>
      </c>
      <c r="N49" s="9">
        <f t="shared" si="12"/>
        <v>3000</v>
      </c>
      <c r="O49" s="9">
        <f t="shared" si="12"/>
        <v>3000</v>
      </c>
      <c r="P49" s="9"/>
      <c r="Q49" s="9">
        <f t="shared" si="10"/>
        <v>36000</v>
      </c>
      <c r="R49" s="9">
        <f>SUM(R48:R48)</f>
        <v>36000</v>
      </c>
    </row>
    <row r="50" spans="3:19" x14ac:dyDescent="0.2">
      <c r="C50" s="16" t="s">
        <v>23</v>
      </c>
      <c r="D50" s="10">
        <f>'Операционные расходы'!E31</f>
        <v>5000</v>
      </c>
      <c r="E50" s="10">
        <f>'Операционные расходы'!F31</f>
        <v>5000</v>
      </c>
      <c r="F50" s="10">
        <f>'Операционные расходы'!G31</f>
        <v>5000</v>
      </c>
      <c r="G50" s="10">
        <f>'Операционные расходы'!H31</f>
        <v>5000</v>
      </c>
      <c r="H50" s="10">
        <f>'Операционные расходы'!I31</f>
        <v>5000</v>
      </c>
      <c r="I50" s="10">
        <f>'Операционные расходы'!J31</f>
        <v>5000</v>
      </c>
      <c r="J50" s="10">
        <f>'Операционные расходы'!K31</f>
        <v>5000</v>
      </c>
      <c r="K50" s="10">
        <f>'Операционные расходы'!L31</f>
        <v>5000</v>
      </c>
      <c r="L50" s="10">
        <f>'Операционные расходы'!M31</f>
        <v>5000</v>
      </c>
      <c r="M50" s="10">
        <f>'Операционные расходы'!N31</f>
        <v>5000</v>
      </c>
      <c r="N50" s="10">
        <f>'Операционные расходы'!O31</f>
        <v>5000</v>
      </c>
      <c r="O50" s="10">
        <f>'Операционные расходы'!P31</f>
        <v>5000</v>
      </c>
      <c r="P50" s="6"/>
      <c r="Q50" s="25">
        <f t="shared" si="10"/>
        <v>60000</v>
      </c>
      <c r="R50" s="25">
        <v>60000</v>
      </c>
    </row>
    <row r="51" spans="3:19" s="5" customFormat="1" x14ac:dyDescent="0.2">
      <c r="C51" s="17" t="s">
        <v>22</v>
      </c>
      <c r="D51" s="9">
        <f t="shared" ref="D51:O51" si="13">SUM(D50:D50)</f>
        <v>5000</v>
      </c>
      <c r="E51" s="9">
        <f t="shared" si="13"/>
        <v>5000</v>
      </c>
      <c r="F51" s="9">
        <f t="shared" si="13"/>
        <v>5000</v>
      </c>
      <c r="G51" s="9">
        <f t="shared" si="13"/>
        <v>5000</v>
      </c>
      <c r="H51" s="9">
        <f t="shared" si="13"/>
        <v>5000</v>
      </c>
      <c r="I51" s="9">
        <f t="shared" si="13"/>
        <v>5000</v>
      </c>
      <c r="J51" s="9">
        <f t="shared" si="13"/>
        <v>5000</v>
      </c>
      <c r="K51" s="9">
        <f t="shared" si="13"/>
        <v>5000</v>
      </c>
      <c r="L51" s="9">
        <f t="shared" si="13"/>
        <v>5000</v>
      </c>
      <c r="M51" s="9">
        <f t="shared" si="13"/>
        <v>5000</v>
      </c>
      <c r="N51" s="9">
        <f t="shared" si="13"/>
        <v>5000</v>
      </c>
      <c r="O51" s="9">
        <f t="shared" si="13"/>
        <v>5000</v>
      </c>
      <c r="P51" s="9"/>
      <c r="Q51" s="9">
        <f>SUM(D51:O51)</f>
        <v>60000</v>
      </c>
      <c r="R51" s="9">
        <f>SUM(R50:R50)</f>
        <v>60000</v>
      </c>
    </row>
    <row r="52" spans="3:19" x14ac:dyDescent="0.2">
      <c r="C52" s="7" t="s">
        <v>18</v>
      </c>
      <c r="D52" s="8">
        <f t="shared" ref="D52:O52" si="14">D47+D49+D51</f>
        <v>25500</v>
      </c>
      <c r="E52" s="8">
        <f t="shared" si="14"/>
        <v>25500</v>
      </c>
      <c r="F52" s="8">
        <f t="shared" si="14"/>
        <v>25500</v>
      </c>
      <c r="G52" s="8">
        <f t="shared" si="14"/>
        <v>25500</v>
      </c>
      <c r="H52" s="8">
        <f t="shared" si="14"/>
        <v>25500</v>
      </c>
      <c r="I52" s="8">
        <f t="shared" si="14"/>
        <v>25500</v>
      </c>
      <c r="J52" s="8">
        <f t="shared" si="14"/>
        <v>25500</v>
      </c>
      <c r="K52" s="8">
        <f t="shared" si="14"/>
        <v>25500</v>
      </c>
      <c r="L52" s="8">
        <f t="shared" si="14"/>
        <v>25500</v>
      </c>
      <c r="M52" s="8">
        <f t="shared" si="14"/>
        <v>25500</v>
      </c>
      <c r="N52" s="8">
        <f t="shared" si="14"/>
        <v>25500</v>
      </c>
      <c r="O52" s="8">
        <f t="shared" si="14"/>
        <v>25500</v>
      </c>
      <c r="P52" s="8"/>
      <c r="Q52" s="8">
        <f>Q47+Q49+Q51</f>
        <v>306000</v>
      </c>
      <c r="R52" s="8">
        <f>R47+R49+R51</f>
        <v>306000</v>
      </c>
      <c r="S52" s="9"/>
    </row>
    <row r="53" spans="3:19" s="5" customFormat="1" x14ac:dyDescent="0.2">
      <c r="C53" s="17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5" spans="3:19" s="5" customFormat="1" x14ac:dyDescent="0.2">
      <c r="C55" s="58" t="s">
        <v>27</v>
      </c>
      <c r="D55" s="59">
        <f t="shared" ref="D55:O55" si="15">D18-D26-D41-D52</f>
        <v>57700</v>
      </c>
      <c r="E55" s="59">
        <f t="shared" si="15"/>
        <v>154300</v>
      </c>
      <c r="F55" s="59">
        <f t="shared" si="15"/>
        <v>154300</v>
      </c>
      <c r="G55" s="59">
        <f t="shared" si="15"/>
        <v>250900</v>
      </c>
      <c r="H55" s="59">
        <f t="shared" si="15"/>
        <v>360900</v>
      </c>
      <c r="I55" s="59">
        <f t="shared" si="15"/>
        <v>360900</v>
      </c>
      <c r="J55" s="59">
        <f t="shared" si="15"/>
        <v>457500</v>
      </c>
      <c r="K55" s="59">
        <f t="shared" si="15"/>
        <v>457500</v>
      </c>
      <c r="L55" s="59">
        <f t="shared" si="15"/>
        <v>457500</v>
      </c>
      <c r="M55" s="59">
        <f t="shared" si="15"/>
        <v>457500</v>
      </c>
      <c r="N55" s="59">
        <f t="shared" si="15"/>
        <v>457500</v>
      </c>
      <c r="O55" s="59">
        <f t="shared" si="15"/>
        <v>457500</v>
      </c>
      <c r="P55" s="9"/>
      <c r="Q55" s="59">
        <f>Q18-Q26-Q41-Q52</f>
        <v>4084000</v>
      </c>
      <c r="R55" s="59">
        <f>R18-R26-R41-R52</f>
        <v>5490000</v>
      </c>
    </row>
    <row r="56" spans="3:19" s="20" customFormat="1" x14ac:dyDescent="0.2">
      <c r="C56" s="20" t="s">
        <v>31</v>
      </c>
      <c r="D56" s="21">
        <f t="shared" ref="D56:O56" si="16">D55/D7</f>
        <v>0.28849999999999998</v>
      </c>
      <c r="E56" s="21">
        <f t="shared" si="16"/>
        <v>0.38574999999999998</v>
      </c>
      <c r="F56" s="21">
        <f t="shared" si="16"/>
        <v>0.38574999999999998</v>
      </c>
      <c r="G56" s="21">
        <f t="shared" si="16"/>
        <v>0.41816666666666669</v>
      </c>
      <c r="H56" s="21">
        <f t="shared" si="16"/>
        <v>0.451125</v>
      </c>
      <c r="I56" s="21">
        <f t="shared" si="16"/>
        <v>0.451125</v>
      </c>
      <c r="J56" s="21">
        <f t="shared" si="16"/>
        <v>0.45750000000000002</v>
      </c>
      <c r="K56" s="21">
        <f t="shared" si="16"/>
        <v>0.45750000000000002</v>
      </c>
      <c r="L56" s="21">
        <f t="shared" si="16"/>
        <v>0.45750000000000002</v>
      </c>
      <c r="M56" s="21">
        <f t="shared" si="16"/>
        <v>0.45750000000000002</v>
      </c>
      <c r="N56" s="21">
        <f t="shared" si="16"/>
        <v>0.45750000000000002</v>
      </c>
      <c r="O56" s="21">
        <f t="shared" si="16"/>
        <v>0.45750000000000002</v>
      </c>
      <c r="P56" s="21"/>
      <c r="Q56" s="21">
        <f>Q55/Q7</f>
        <v>0.44391304347826088</v>
      </c>
      <c r="R56" s="21">
        <f>R55/R7</f>
        <v>0.45750000000000002</v>
      </c>
    </row>
    <row r="57" spans="3:19" ht="14.25" customHeight="1" x14ac:dyDescent="0.2"/>
    <row r="58" spans="3:19" s="5" customFormat="1" x14ac:dyDescent="0.2">
      <c r="C58" s="17" t="s">
        <v>32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9"/>
      <c r="Q58" s="9">
        <f>SUM(D58:O58)</f>
        <v>0</v>
      </c>
      <c r="R58" s="9"/>
    </row>
    <row r="59" spans="3:19" x14ac:dyDescent="0.2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27"/>
      <c r="R59" s="27"/>
    </row>
    <row r="60" spans="3:19" x14ac:dyDescent="0.2">
      <c r="C60" s="16" t="s">
        <v>33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6"/>
      <c r="Q60" s="25"/>
      <c r="R60" s="25"/>
    </row>
    <row r="61" spans="3:19" x14ac:dyDescent="0.2">
      <c r="C61" s="16" t="s">
        <v>34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6"/>
      <c r="Q61" s="25"/>
      <c r="R61" s="25"/>
    </row>
    <row r="62" spans="3:19" x14ac:dyDescent="0.2">
      <c r="C62" s="16" t="s">
        <v>35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6"/>
      <c r="Q62" s="25"/>
      <c r="R62" s="25"/>
    </row>
    <row r="63" spans="3:19" s="5" customFormat="1" x14ac:dyDescent="0.2">
      <c r="C63" s="17" t="s">
        <v>38</v>
      </c>
      <c r="D63" s="9">
        <f>SUM(D60:D62)</f>
        <v>0</v>
      </c>
      <c r="E63" s="9">
        <f t="shared" ref="E63:O63" si="17">SUM(E60:E62)</f>
        <v>0</v>
      </c>
      <c r="F63" s="9">
        <f t="shared" si="17"/>
        <v>0</v>
      </c>
      <c r="G63" s="9">
        <f t="shared" si="17"/>
        <v>0</v>
      </c>
      <c r="H63" s="9">
        <f t="shared" si="17"/>
        <v>0</v>
      </c>
      <c r="I63" s="9">
        <f t="shared" si="17"/>
        <v>0</v>
      </c>
      <c r="J63" s="9">
        <f t="shared" si="17"/>
        <v>0</v>
      </c>
      <c r="K63" s="9">
        <f t="shared" si="17"/>
        <v>0</v>
      </c>
      <c r="L63" s="9">
        <f t="shared" si="17"/>
        <v>0</v>
      </c>
      <c r="M63" s="9">
        <f t="shared" si="17"/>
        <v>0</v>
      </c>
      <c r="N63" s="9">
        <f t="shared" si="17"/>
        <v>0</v>
      </c>
      <c r="O63" s="9">
        <f t="shared" si="17"/>
        <v>0</v>
      </c>
      <c r="P63" s="9"/>
      <c r="Q63" s="9">
        <f>SUM(D63:O63)</f>
        <v>0</v>
      </c>
      <c r="R63" s="9"/>
    </row>
    <row r="64" spans="3:19" x14ac:dyDescent="0.2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27"/>
      <c r="R64" s="27"/>
    </row>
    <row r="66" spans="1:19" x14ac:dyDescent="0.2">
      <c r="C66" s="22" t="s">
        <v>36</v>
      </c>
      <c r="D66" s="23">
        <f>D55-D58-D63</f>
        <v>57700</v>
      </c>
      <c r="E66" s="23">
        <f t="shared" ref="E66:N66" si="18">E55-E58-E63</f>
        <v>154300</v>
      </c>
      <c r="F66" s="23">
        <f t="shared" si="18"/>
        <v>154300</v>
      </c>
      <c r="G66" s="23">
        <f t="shared" si="18"/>
        <v>250900</v>
      </c>
      <c r="H66" s="23">
        <f t="shared" si="18"/>
        <v>360900</v>
      </c>
      <c r="I66" s="23">
        <f t="shared" si="18"/>
        <v>360900</v>
      </c>
      <c r="J66" s="23">
        <f t="shared" si="18"/>
        <v>457500</v>
      </c>
      <c r="K66" s="23">
        <f t="shared" si="18"/>
        <v>457500</v>
      </c>
      <c r="L66" s="23">
        <f t="shared" si="18"/>
        <v>457500</v>
      </c>
      <c r="M66" s="23">
        <f t="shared" si="18"/>
        <v>457500</v>
      </c>
      <c r="N66" s="23">
        <f t="shared" si="18"/>
        <v>457500</v>
      </c>
      <c r="O66" s="23">
        <f>O55-O58-O63</f>
        <v>457500</v>
      </c>
      <c r="P66" s="23"/>
      <c r="Q66" s="28">
        <f>SUM(D66:O66)</f>
        <v>4084000</v>
      </c>
      <c r="R66" s="28">
        <f>R55-R58-R63</f>
        <v>5490000</v>
      </c>
    </row>
    <row r="67" spans="1:19" x14ac:dyDescent="0.2">
      <c r="C67" s="16" t="s">
        <v>57</v>
      </c>
      <c r="D67" s="10">
        <f>'Операционные расходы'!E45</f>
        <v>12000</v>
      </c>
      <c r="E67" s="10">
        <f>'Операционные расходы'!F45</f>
        <v>24000</v>
      </c>
      <c r="F67" s="10">
        <f>'Операционные расходы'!G45</f>
        <v>24000</v>
      </c>
      <c r="G67" s="10">
        <f>'Операционные расходы'!H45</f>
        <v>36000</v>
      </c>
      <c r="H67" s="10">
        <f>'Операционные расходы'!I45</f>
        <v>48000</v>
      </c>
      <c r="I67" s="10">
        <f>'Операционные расходы'!J45</f>
        <v>48000</v>
      </c>
      <c r="J67" s="10">
        <f>'Операционные расходы'!K45</f>
        <v>60000</v>
      </c>
      <c r="K67" s="10">
        <f>'Операционные расходы'!L45</f>
        <v>60000</v>
      </c>
      <c r="L67" s="10">
        <f>'Операционные расходы'!M45</f>
        <v>60000</v>
      </c>
      <c r="M67" s="10">
        <f>'Операционные расходы'!N45</f>
        <v>60000</v>
      </c>
      <c r="N67" s="10">
        <f>'Операционные расходы'!O45</f>
        <v>60000</v>
      </c>
      <c r="O67" s="10">
        <f>'Операционные расходы'!P45</f>
        <v>60000</v>
      </c>
      <c r="P67" s="6"/>
      <c r="Q67" s="25">
        <f>SUM(D67:O67)</f>
        <v>552000</v>
      </c>
      <c r="R67" s="25">
        <f>'Операционные расходы'!S45</f>
        <v>720000</v>
      </c>
    </row>
    <row r="68" spans="1:19" s="5" customFormat="1" x14ac:dyDescent="0.2">
      <c r="C68" s="58" t="s">
        <v>37</v>
      </c>
      <c r="D68" s="59">
        <f>D66-D67</f>
        <v>45700</v>
      </c>
      <c r="E68" s="59">
        <f t="shared" ref="E68:N68" si="19">E66-E67</f>
        <v>130300</v>
      </c>
      <c r="F68" s="59">
        <f t="shared" si="19"/>
        <v>130300</v>
      </c>
      <c r="G68" s="59">
        <f t="shared" si="19"/>
        <v>214900</v>
      </c>
      <c r="H68" s="59">
        <f t="shared" si="19"/>
        <v>312900</v>
      </c>
      <c r="I68" s="59">
        <f t="shared" si="19"/>
        <v>312900</v>
      </c>
      <c r="J68" s="59">
        <f t="shared" si="19"/>
        <v>397500</v>
      </c>
      <c r="K68" s="59">
        <f t="shared" si="19"/>
        <v>397500</v>
      </c>
      <c r="L68" s="59">
        <f t="shared" si="19"/>
        <v>397500</v>
      </c>
      <c r="M68" s="59">
        <f t="shared" si="19"/>
        <v>397500</v>
      </c>
      <c r="N68" s="59">
        <f t="shared" si="19"/>
        <v>397500</v>
      </c>
      <c r="O68" s="59">
        <f>O66-O67</f>
        <v>397500</v>
      </c>
      <c r="P68" s="9"/>
      <c r="Q68" s="59">
        <f>SUM(D68:O68)</f>
        <v>3532000</v>
      </c>
      <c r="R68" s="59">
        <f>R66-R67</f>
        <v>4770000</v>
      </c>
      <c r="S68" s="26">
        <f>R68/Q68-1</f>
        <v>0.35050962627406568</v>
      </c>
    </row>
    <row r="69" spans="1:19" s="20" customFormat="1" x14ac:dyDescent="0.2">
      <c r="C69" s="20" t="s">
        <v>39</v>
      </c>
      <c r="D69" s="21">
        <f t="shared" ref="D69:O69" si="20">D68/D7</f>
        <v>0.22850000000000001</v>
      </c>
      <c r="E69" s="21">
        <f t="shared" si="20"/>
        <v>0.32574999999999998</v>
      </c>
      <c r="F69" s="21">
        <f t="shared" si="20"/>
        <v>0.32574999999999998</v>
      </c>
      <c r="G69" s="21">
        <f t="shared" si="20"/>
        <v>0.35816666666666669</v>
      </c>
      <c r="H69" s="21">
        <f t="shared" si="20"/>
        <v>0.391125</v>
      </c>
      <c r="I69" s="21">
        <f t="shared" si="20"/>
        <v>0.391125</v>
      </c>
      <c r="J69" s="21">
        <f t="shared" si="20"/>
        <v>0.39750000000000002</v>
      </c>
      <c r="K69" s="21">
        <f t="shared" si="20"/>
        <v>0.39750000000000002</v>
      </c>
      <c r="L69" s="21">
        <f t="shared" si="20"/>
        <v>0.39750000000000002</v>
      </c>
      <c r="M69" s="21">
        <f t="shared" si="20"/>
        <v>0.39750000000000002</v>
      </c>
      <c r="N69" s="21">
        <f t="shared" si="20"/>
        <v>0.39750000000000002</v>
      </c>
      <c r="O69" s="21">
        <f t="shared" si="20"/>
        <v>0.39750000000000002</v>
      </c>
      <c r="P69" s="21"/>
      <c r="Q69" s="21">
        <f>Q68/Q7</f>
        <v>0.38391304347826088</v>
      </c>
      <c r="R69" s="21">
        <f>R68/R7</f>
        <v>0.39750000000000002</v>
      </c>
    </row>
    <row r="73" spans="1:19" x14ac:dyDescent="0.2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5"/>
      <c r="R73" s="125"/>
      <c r="S73" s="124"/>
    </row>
    <row r="74" spans="1:19" x14ac:dyDescent="0.2">
      <c r="A74" s="124"/>
      <c r="B74" s="124"/>
      <c r="C74" s="126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5"/>
      <c r="R74" s="125"/>
      <c r="S74" s="124"/>
    </row>
    <row r="75" spans="1:19" x14ac:dyDescent="0.2">
      <c r="A75" s="124"/>
      <c r="B75" s="124"/>
      <c r="C75" s="99" t="s">
        <v>72</v>
      </c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4"/>
      <c r="Q75" s="128"/>
      <c r="R75" s="128"/>
      <c r="S75" s="127"/>
    </row>
    <row r="76" spans="1:19" s="103" customFormat="1" x14ac:dyDescent="0.2">
      <c r="A76" s="129"/>
      <c r="B76" s="129"/>
      <c r="C76" s="102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30"/>
      <c r="R76" s="130"/>
      <c r="S76" s="129"/>
    </row>
    <row r="77" spans="1:19" s="103" customFormat="1" x14ac:dyDescent="0.2">
      <c r="A77" s="129"/>
      <c r="B77" s="129"/>
      <c r="C77" s="104" t="s">
        <v>0</v>
      </c>
      <c r="D77" s="131">
        <f>D7</f>
        <v>200000</v>
      </c>
      <c r="E77" s="131">
        <f t="shared" ref="E77:O77" si="21">E7</f>
        <v>400000</v>
      </c>
      <c r="F77" s="131">
        <f t="shared" si="21"/>
        <v>400000</v>
      </c>
      <c r="G77" s="131">
        <f t="shared" si="21"/>
        <v>600000</v>
      </c>
      <c r="H77" s="131">
        <f t="shared" si="21"/>
        <v>800000</v>
      </c>
      <c r="I77" s="131">
        <f t="shared" si="21"/>
        <v>800000</v>
      </c>
      <c r="J77" s="131">
        <f t="shared" si="21"/>
        <v>1000000</v>
      </c>
      <c r="K77" s="131">
        <f t="shared" si="21"/>
        <v>1000000</v>
      </c>
      <c r="L77" s="131">
        <f t="shared" si="21"/>
        <v>1000000</v>
      </c>
      <c r="M77" s="131">
        <f t="shared" si="21"/>
        <v>1000000</v>
      </c>
      <c r="N77" s="131">
        <f t="shared" si="21"/>
        <v>1000000</v>
      </c>
      <c r="O77" s="131">
        <f t="shared" si="21"/>
        <v>1000000</v>
      </c>
      <c r="P77" s="129"/>
      <c r="Q77" s="131">
        <f>Q7</f>
        <v>9200000</v>
      </c>
      <c r="R77" s="131">
        <f>R7</f>
        <v>12000000</v>
      </c>
      <c r="S77" s="129"/>
    </row>
    <row r="78" spans="1:19" s="103" customFormat="1" x14ac:dyDescent="0.2">
      <c r="A78" s="129"/>
      <c r="B78" s="129"/>
      <c r="C78" s="104" t="s">
        <v>73</v>
      </c>
      <c r="D78" s="131">
        <f t="shared" ref="D78:O78" si="22">D67+D52+D41+D26+D16</f>
        <v>154300</v>
      </c>
      <c r="E78" s="131">
        <f t="shared" si="22"/>
        <v>269700</v>
      </c>
      <c r="F78" s="131">
        <f t="shared" si="22"/>
        <v>269700</v>
      </c>
      <c r="G78" s="131">
        <f t="shared" si="22"/>
        <v>385100</v>
      </c>
      <c r="H78" s="131">
        <f t="shared" si="22"/>
        <v>487100</v>
      </c>
      <c r="I78" s="131">
        <f t="shared" si="22"/>
        <v>487100</v>
      </c>
      <c r="J78" s="131">
        <f t="shared" si="22"/>
        <v>602500</v>
      </c>
      <c r="K78" s="131">
        <f t="shared" si="22"/>
        <v>602500</v>
      </c>
      <c r="L78" s="131">
        <f t="shared" si="22"/>
        <v>602500</v>
      </c>
      <c r="M78" s="131">
        <f t="shared" si="22"/>
        <v>602500</v>
      </c>
      <c r="N78" s="131">
        <f t="shared" si="22"/>
        <v>602500</v>
      </c>
      <c r="O78" s="131">
        <f t="shared" si="22"/>
        <v>602500</v>
      </c>
      <c r="P78" s="129"/>
      <c r="Q78" s="131">
        <f>Q67+Q52+Q41+Q26+Q16</f>
        <v>5668000</v>
      </c>
      <c r="R78" s="131">
        <f>R67+R52+R41+R26+R16</f>
        <v>7230000</v>
      </c>
      <c r="S78" s="129"/>
    </row>
    <row r="79" spans="1:19" s="103" customFormat="1" x14ac:dyDescent="0.2">
      <c r="A79" s="129"/>
      <c r="B79" s="129"/>
      <c r="C79" s="105" t="s">
        <v>74</v>
      </c>
      <c r="D79" s="131">
        <f>D77-D78</f>
        <v>45700</v>
      </c>
      <c r="E79" s="131">
        <f t="shared" ref="E79:Q79" si="23">E77-E78</f>
        <v>130300</v>
      </c>
      <c r="F79" s="131">
        <f t="shared" si="23"/>
        <v>130300</v>
      </c>
      <c r="G79" s="131">
        <f t="shared" si="23"/>
        <v>214900</v>
      </c>
      <c r="H79" s="131">
        <f t="shared" si="23"/>
        <v>312900</v>
      </c>
      <c r="I79" s="131">
        <f t="shared" si="23"/>
        <v>312900</v>
      </c>
      <c r="J79" s="131">
        <f t="shared" si="23"/>
        <v>397500</v>
      </c>
      <c r="K79" s="131">
        <f t="shared" si="23"/>
        <v>397500</v>
      </c>
      <c r="L79" s="131">
        <f t="shared" si="23"/>
        <v>397500</v>
      </c>
      <c r="M79" s="131">
        <f t="shared" si="23"/>
        <v>397500</v>
      </c>
      <c r="N79" s="131">
        <f t="shared" si="23"/>
        <v>397500</v>
      </c>
      <c r="O79" s="131">
        <f t="shared" si="23"/>
        <v>397500</v>
      </c>
      <c r="P79" s="129"/>
      <c r="Q79" s="131">
        <f t="shared" si="23"/>
        <v>3532000</v>
      </c>
      <c r="R79" s="131">
        <f>R77-R78</f>
        <v>4770000</v>
      </c>
      <c r="S79" s="129"/>
    </row>
    <row r="80" spans="1:19" s="103" customFormat="1" x14ac:dyDescent="0.2">
      <c r="A80" s="129"/>
      <c r="B80" s="129"/>
      <c r="C80" s="105"/>
      <c r="D80" s="131"/>
      <c r="E80" s="131"/>
      <c r="F80" s="131"/>
      <c r="G80" s="131"/>
      <c r="H80" s="131"/>
      <c r="I80" s="131"/>
      <c r="J80" s="129"/>
      <c r="K80" s="129"/>
      <c r="L80" s="129"/>
      <c r="M80" s="129"/>
      <c r="N80" s="129"/>
      <c r="O80" s="129"/>
      <c r="P80" s="129"/>
      <c r="Q80" s="130"/>
      <c r="R80" s="130"/>
      <c r="S80" s="129"/>
    </row>
    <row r="81" spans="1:19" s="103" customFormat="1" x14ac:dyDescent="0.2">
      <c r="A81" s="129"/>
      <c r="B81" s="129"/>
      <c r="C81" s="105" t="s">
        <v>75</v>
      </c>
      <c r="D81" s="131">
        <f>-'Ключевые показатели'!D71</f>
        <v>-1000000</v>
      </c>
      <c r="E81" s="131">
        <v>0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0</v>
      </c>
      <c r="P81" s="129"/>
      <c r="Q81" s="132">
        <f>SUM(D81:O81)</f>
        <v>-1000000</v>
      </c>
      <c r="R81" s="130">
        <v>0</v>
      </c>
      <c r="S81" s="129"/>
    </row>
    <row r="82" spans="1:19" s="103" customFormat="1" x14ac:dyDescent="0.2">
      <c r="A82" s="129"/>
      <c r="B82" s="129"/>
      <c r="C82" s="105"/>
      <c r="D82" s="131"/>
      <c r="E82" s="131"/>
      <c r="F82" s="131"/>
      <c r="G82" s="131"/>
      <c r="H82" s="131"/>
      <c r="I82" s="131"/>
      <c r="J82" s="129"/>
      <c r="K82" s="129"/>
      <c r="L82" s="129"/>
      <c r="M82" s="129"/>
      <c r="N82" s="129"/>
      <c r="O82" s="129"/>
      <c r="P82" s="129"/>
      <c r="Q82" s="130"/>
      <c r="R82" s="130"/>
      <c r="S82" s="129"/>
    </row>
    <row r="83" spans="1:19" s="103" customFormat="1" x14ac:dyDescent="0.2">
      <c r="A83" s="129"/>
      <c r="B83" s="129"/>
      <c r="C83" s="106" t="s">
        <v>76</v>
      </c>
      <c r="D83" s="131">
        <f>D81+D79</f>
        <v>-954300</v>
      </c>
      <c r="E83" s="131">
        <f t="shared" ref="E83:Q83" si="24">E81+E79</f>
        <v>130300</v>
      </c>
      <c r="F83" s="131">
        <f t="shared" si="24"/>
        <v>130300</v>
      </c>
      <c r="G83" s="131">
        <f t="shared" si="24"/>
        <v>214900</v>
      </c>
      <c r="H83" s="131">
        <f t="shared" si="24"/>
        <v>312900</v>
      </c>
      <c r="I83" s="131">
        <f t="shared" si="24"/>
        <v>312900</v>
      </c>
      <c r="J83" s="131">
        <f t="shared" si="24"/>
        <v>397500</v>
      </c>
      <c r="K83" s="131">
        <f t="shared" si="24"/>
        <v>397500</v>
      </c>
      <c r="L83" s="131">
        <f t="shared" si="24"/>
        <v>397500</v>
      </c>
      <c r="M83" s="131">
        <f t="shared" si="24"/>
        <v>397500</v>
      </c>
      <c r="N83" s="131">
        <f t="shared" si="24"/>
        <v>397500</v>
      </c>
      <c r="O83" s="131">
        <f t="shared" si="24"/>
        <v>397500</v>
      </c>
      <c r="P83" s="129"/>
      <c r="Q83" s="131">
        <f t="shared" si="24"/>
        <v>2532000</v>
      </c>
      <c r="R83" s="131">
        <f>R81+R79</f>
        <v>4770000</v>
      </c>
      <c r="S83" s="129"/>
    </row>
    <row r="84" spans="1:19" s="103" customFormat="1" x14ac:dyDescent="0.2">
      <c r="A84" s="129"/>
      <c r="B84" s="129"/>
      <c r="C84" s="107" t="s">
        <v>77</v>
      </c>
      <c r="D84" s="131">
        <f>D83</f>
        <v>-954300</v>
      </c>
      <c r="E84" s="131">
        <f>D84+E83</f>
        <v>-824000</v>
      </c>
      <c r="F84" s="131">
        <f t="shared" ref="F84:O84" si="25">E84+F83</f>
        <v>-693700</v>
      </c>
      <c r="G84" s="131">
        <f t="shared" si="25"/>
        <v>-478800</v>
      </c>
      <c r="H84" s="131">
        <f t="shared" si="25"/>
        <v>-165900</v>
      </c>
      <c r="I84" s="131">
        <f t="shared" si="25"/>
        <v>147000</v>
      </c>
      <c r="J84" s="131">
        <f t="shared" si="25"/>
        <v>544500</v>
      </c>
      <c r="K84" s="131">
        <f t="shared" si="25"/>
        <v>942000</v>
      </c>
      <c r="L84" s="131">
        <f t="shared" si="25"/>
        <v>1339500</v>
      </c>
      <c r="M84" s="131">
        <f t="shared" si="25"/>
        <v>1737000</v>
      </c>
      <c r="N84" s="131">
        <f t="shared" si="25"/>
        <v>2134500</v>
      </c>
      <c r="O84" s="131">
        <f t="shared" si="25"/>
        <v>2532000</v>
      </c>
      <c r="P84" s="129"/>
      <c r="Q84" s="132">
        <f>O84</f>
        <v>2532000</v>
      </c>
      <c r="R84" s="132">
        <f>Q84+R83</f>
        <v>7302000</v>
      </c>
      <c r="S84" s="129"/>
    </row>
    <row r="85" spans="1:19" s="108" customFormat="1" ht="11.25" x14ac:dyDescent="0.2">
      <c r="A85" s="133"/>
      <c r="B85" s="133"/>
      <c r="C85" s="105"/>
      <c r="D85" s="134"/>
      <c r="E85" s="134"/>
      <c r="F85" s="134"/>
      <c r="G85" s="134"/>
      <c r="H85" s="134"/>
      <c r="I85" s="134"/>
      <c r="J85" s="133"/>
      <c r="K85" s="133"/>
      <c r="L85" s="133"/>
      <c r="M85" s="133"/>
      <c r="N85" s="133"/>
      <c r="O85" s="133"/>
      <c r="P85" s="133"/>
      <c r="Q85" s="135"/>
      <c r="R85" s="135"/>
      <c r="S85" s="133"/>
    </row>
    <row r="86" spans="1:19" s="108" customFormat="1" ht="11.25" x14ac:dyDescent="0.2">
      <c r="A86" s="133"/>
      <c r="B86" s="133"/>
      <c r="C86" s="106" t="s">
        <v>78</v>
      </c>
      <c r="D86" s="134">
        <f>D83*D98</f>
        <v>-954300</v>
      </c>
      <c r="E86" s="134">
        <f t="shared" ref="E86:N86" si="26">E83*E98</f>
        <v>129288.79488581984</v>
      </c>
      <c r="F86" s="134">
        <f t="shared" si="26"/>
        <v>128285.43732177738</v>
      </c>
      <c r="G86" s="134">
        <f t="shared" si="26"/>
        <v>209935.47421873227</v>
      </c>
      <c r="H86" s="134">
        <f t="shared" si="26"/>
        <v>303299.32918743714</v>
      </c>
      <c r="I86" s="134">
        <f t="shared" si="26"/>
        <v>300945.5468942541</v>
      </c>
      <c r="J86" s="134">
        <f t="shared" si="26"/>
        <v>379346.39648293768</v>
      </c>
      <c r="K86" s="134">
        <f t="shared" si="26"/>
        <v>376402.44394134625</v>
      </c>
      <c r="L86" s="134">
        <f t="shared" si="26"/>
        <v>373481.33821376838</v>
      </c>
      <c r="M86" s="134">
        <f t="shared" si="26"/>
        <v>370582.90199540602</v>
      </c>
      <c r="N86" s="134">
        <f t="shared" si="26"/>
        <v>367706.95935745147</v>
      </c>
      <c r="O86" s="134">
        <f>O83*O98</f>
        <v>364853.3357364086</v>
      </c>
      <c r="P86" s="133"/>
      <c r="Q86" s="136">
        <f>SUM(D86:O86)</f>
        <v>2349827.9582353393</v>
      </c>
      <c r="R86" s="136">
        <f>R83*R98</f>
        <v>3956523.0374152702</v>
      </c>
      <c r="S86" s="133"/>
    </row>
    <row r="87" spans="1:19" s="87" customFormat="1" ht="11.25" x14ac:dyDescent="0.2">
      <c r="A87" s="126"/>
      <c r="B87" s="126"/>
      <c r="C87" s="99" t="s">
        <v>79</v>
      </c>
      <c r="D87" s="137">
        <f>D86</f>
        <v>-954300</v>
      </c>
      <c r="E87" s="137">
        <f>D87+E86</f>
        <v>-825011.20511418022</v>
      </c>
      <c r="F87" s="137">
        <f t="shared" ref="F87:O87" si="27">E87+F86</f>
        <v>-696725.76779240288</v>
      </c>
      <c r="G87" s="137">
        <f t="shared" si="27"/>
        <v>-486790.29357367061</v>
      </c>
      <c r="H87" s="137">
        <f t="shared" si="27"/>
        <v>-183490.96438623348</v>
      </c>
      <c r="I87" s="137">
        <f t="shared" si="27"/>
        <v>117454.58250802063</v>
      </c>
      <c r="J87" s="137">
        <f t="shared" si="27"/>
        <v>496800.97899095831</v>
      </c>
      <c r="K87" s="137">
        <f t="shared" si="27"/>
        <v>873203.42293230456</v>
      </c>
      <c r="L87" s="137">
        <f t="shared" si="27"/>
        <v>1246684.761146073</v>
      </c>
      <c r="M87" s="137">
        <f t="shared" si="27"/>
        <v>1617267.663141479</v>
      </c>
      <c r="N87" s="137">
        <f t="shared" si="27"/>
        <v>1984974.6224989304</v>
      </c>
      <c r="O87" s="137">
        <f t="shared" si="27"/>
        <v>2349827.9582353393</v>
      </c>
      <c r="P87" s="126"/>
      <c r="Q87" s="138">
        <f>O87</f>
        <v>2349827.9582353393</v>
      </c>
      <c r="R87" s="138">
        <f>Q87+R86</f>
        <v>6306350.99565061</v>
      </c>
      <c r="S87" s="139"/>
    </row>
    <row r="88" spans="1:19" s="87" customFormat="1" ht="11.25" x14ac:dyDescent="0.2">
      <c r="A88" s="126"/>
      <c r="B88" s="126"/>
      <c r="C88" s="88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40"/>
      <c r="R88" s="140"/>
      <c r="S88" s="126"/>
    </row>
    <row r="89" spans="1:19" s="87" customFormat="1" ht="11.25" x14ac:dyDescent="0.2">
      <c r="A89" s="126"/>
      <c r="B89" s="126"/>
      <c r="C89" s="88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40"/>
      <c r="R89" s="140"/>
      <c r="S89" s="126"/>
    </row>
    <row r="90" spans="1:19" s="87" customFormat="1" ht="11.25" x14ac:dyDescent="0.2">
      <c r="A90" s="126"/>
      <c r="B90" s="126"/>
      <c r="C90" s="99" t="s">
        <v>80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26"/>
      <c r="Q90" s="141"/>
      <c r="R90" s="141"/>
      <c r="S90" s="139"/>
    </row>
    <row r="91" spans="1:19" s="108" customFormat="1" ht="11.25" x14ac:dyDescent="0.2">
      <c r="A91" s="133"/>
      <c r="B91" s="133"/>
      <c r="C91" s="109" t="s">
        <v>89</v>
      </c>
      <c r="D91" s="110" t="s">
        <v>58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5"/>
      <c r="R91" s="135"/>
      <c r="S91" s="133"/>
    </row>
    <row r="92" spans="1:19" s="108" customFormat="1" ht="11.25" x14ac:dyDescent="0.2">
      <c r="A92" s="133"/>
      <c r="B92" s="133"/>
      <c r="C92" s="106" t="s">
        <v>81</v>
      </c>
      <c r="D92" s="111">
        <f>IF(D84&lt;0,D$100,IF(C84&lt;0,D$100*(-C84/(D84-C84)),0))</f>
        <v>1</v>
      </c>
      <c r="E92" s="111">
        <f>IF(E84&lt;0,E$100,IF(D84&lt;0,E$100*(-D84/(E84-D84)),0))</f>
        <v>1</v>
      </c>
      <c r="F92" s="111">
        <f t="shared" ref="F92:O92" si="28">IF(F84&lt;0,F$100,IF(E84&lt;0,F$100*(-E84/(F84-E84)),0))</f>
        <v>1</v>
      </c>
      <c r="G92" s="111">
        <f t="shared" si="28"/>
        <v>1</v>
      </c>
      <c r="H92" s="111">
        <f t="shared" si="28"/>
        <v>1</v>
      </c>
      <c r="I92" s="111">
        <f t="shared" si="28"/>
        <v>0.53020134228187921</v>
      </c>
      <c r="J92" s="111">
        <f t="shared" si="28"/>
        <v>0</v>
      </c>
      <c r="K92" s="111">
        <f t="shared" si="28"/>
        <v>0</v>
      </c>
      <c r="L92" s="111">
        <f t="shared" si="28"/>
        <v>0</v>
      </c>
      <c r="M92" s="111">
        <f t="shared" si="28"/>
        <v>0</v>
      </c>
      <c r="N92" s="111">
        <f t="shared" si="28"/>
        <v>0</v>
      </c>
      <c r="O92" s="111">
        <f t="shared" si="28"/>
        <v>0</v>
      </c>
      <c r="P92" s="133"/>
      <c r="Q92" s="142">
        <f>SUM(D92:O92)</f>
        <v>5.5302013422818792</v>
      </c>
      <c r="R92" s="112">
        <f>IF(R84&lt;0,R$100,IF(Q84&lt;0,R$100*(-Q84/(R84-Q84)),0))</f>
        <v>0</v>
      </c>
      <c r="S92" s="100">
        <f>SUM(Q92:R92)</f>
        <v>5.5302013422818792</v>
      </c>
    </row>
    <row r="93" spans="1:19" s="108" customFormat="1" ht="11.25" x14ac:dyDescent="0.2">
      <c r="A93" s="133"/>
      <c r="B93" s="133"/>
      <c r="C93" s="107" t="s">
        <v>82</v>
      </c>
      <c r="D93" s="113">
        <f>IF(D87&lt;0,D$100,IF(C87&lt;0,D$100*(-C87/(D87-C87)),0))</f>
        <v>1</v>
      </c>
      <c r="E93" s="113">
        <f>IF(E87&lt;0,E$100,IF(D87&lt;0,E$100*(-D87/(E87-D87)),0))</f>
        <v>1</v>
      </c>
      <c r="F93" s="113">
        <f t="shared" ref="F93:O93" si="29">IF(F87&lt;0,F$100,IF(E87&lt;0,F$100*(-E87/(F87-E87)),0))</f>
        <v>1</v>
      </c>
      <c r="G93" s="113">
        <f t="shared" si="29"/>
        <v>1</v>
      </c>
      <c r="H93" s="113">
        <f t="shared" si="29"/>
        <v>1</v>
      </c>
      <c r="I93" s="113">
        <f t="shared" si="29"/>
        <v>0.60971483472625798</v>
      </c>
      <c r="J93" s="113">
        <f t="shared" si="29"/>
        <v>0</v>
      </c>
      <c r="K93" s="113">
        <f t="shared" si="29"/>
        <v>0</v>
      </c>
      <c r="L93" s="113">
        <f t="shared" si="29"/>
        <v>0</v>
      </c>
      <c r="M93" s="113">
        <f t="shared" si="29"/>
        <v>0</v>
      </c>
      <c r="N93" s="113">
        <f t="shared" si="29"/>
        <v>0</v>
      </c>
      <c r="O93" s="113">
        <f t="shared" si="29"/>
        <v>0</v>
      </c>
      <c r="P93" s="133"/>
      <c r="Q93" s="142">
        <f>SUM(D93:O93)</f>
        <v>5.6097148347262582</v>
      </c>
      <c r="R93" s="114">
        <f>IF(R87&lt;0,R$100,IF(Q87&lt;0,R$100*(-Q87/(R87-Q87)),0))</f>
        <v>0</v>
      </c>
      <c r="S93" s="100">
        <f>SUM(Q93:R93)</f>
        <v>5.6097148347262582</v>
      </c>
    </row>
    <row r="94" spans="1:19" s="108" customFormat="1" ht="11.25" x14ac:dyDescent="0.2">
      <c r="A94" s="133"/>
      <c r="B94" s="133"/>
      <c r="C94" s="115" t="s">
        <v>83</v>
      </c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5"/>
      <c r="S94" s="101" t="str">
        <f>IF(SUM(Q102:R102)&lt;=0,"Проект не окупается за 2 года",(IF(Q102&gt;0,"Проект окупается в "&amp;$D$91&amp;" ",IRR(Q102:R102))))</f>
        <v xml:space="preserve">Проект окупается в 1-ый год </v>
      </c>
    </row>
    <row r="95" spans="1:19" s="116" customFormat="1" ht="11.25" x14ac:dyDescent="0.2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4"/>
      <c r="S95" s="144"/>
    </row>
    <row r="96" spans="1:19" s="116" customFormat="1" ht="11.25" x14ac:dyDescent="0.2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</row>
    <row r="97" spans="1:19" s="116" customFormat="1" ht="11.25" x14ac:dyDescent="0.2">
      <c r="A97" s="143"/>
      <c r="B97" s="143"/>
      <c r="C97" s="143"/>
      <c r="D97" s="117">
        <f>C97+1</f>
        <v>1</v>
      </c>
      <c r="E97" s="117">
        <f>D97+1</f>
        <v>2</v>
      </c>
      <c r="F97" s="117">
        <f>E97+1</f>
        <v>3</v>
      </c>
      <c r="G97" s="117">
        <f t="shared" ref="G97:O97" si="30">F97+1</f>
        <v>4</v>
      </c>
      <c r="H97" s="117">
        <f t="shared" si="30"/>
        <v>5</v>
      </c>
      <c r="I97" s="117">
        <f t="shared" si="30"/>
        <v>6</v>
      </c>
      <c r="J97" s="117">
        <f t="shared" si="30"/>
        <v>7</v>
      </c>
      <c r="K97" s="117">
        <f t="shared" si="30"/>
        <v>8</v>
      </c>
      <c r="L97" s="117">
        <f t="shared" si="30"/>
        <v>9</v>
      </c>
      <c r="M97" s="117">
        <f t="shared" si="30"/>
        <v>10</v>
      </c>
      <c r="N97" s="117">
        <f t="shared" si="30"/>
        <v>11</v>
      </c>
      <c r="O97" s="117">
        <f t="shared" si="30"/>
        <v>12</v>
      </c>
      <c r="P97" s="143"/>
      <c r="Q97" s="117"/>
      <c r="R97" s="117"/>
      <c r="S97" s="118"/>
    </row>
    <row r="98" spans="1:19" s="116" customFormat="1" ht="11.25" x14ac:dyDescent="0.2">
      <c r="A98" s="143"/>
      <c r="B98" s="143"/>
      <c r="C98" s="143"/>
      <c r="D98" s="118">
        <f>1/((1+'Ключевые показатели'!$D$65)^((D$97-1)/12))</f>
        <v>1</v>
      </c>
      <c r="E98" s="118">
        <f>1/((1+'Ключевые показатели'!$D$65)^((E$97-1)/12))</f>
        <v>0.99223940817973777</v>
      </c>
      <c r="F98" s="118">
        <f>1/((1+'Ключевые показатели'!$D$65)^((F$97-1)/12))</f>
        <v>0.98453904314487628</v>
      </c>
      <c r="G98" s="118">
        <f>1/((1+'Ключевые показатели'!$D$65)^((G$97-1)/12))</f>
        <v>0.97689843749991745</v>
      </c>
      <c r="H98" s="118">
        <f>1/((1+'Ключевые показатели'!$D$65)^((H$97-1)/12))</f>
        <v>0.96931712747662879</v>
      </c>
      <c r="I98" s="118">
        <f>1/((1+'Ключевые показатели'!$D$65)^((I$97-1)/12))</f>
        <v>0.96179465290589361</v>
      </c>
      <c r="J98" s="118">
        <f>1/((1+'Ключевые показатели'!$D$65)^((J$97-1)/12))</f>
        <v>0.95433055718978033</v>
      </c>
      <c r="K98" s="118">
        <f>1/((1+'Ключевые показатели'!$D$65)^((K$97-1)/12))</f>
        <v>0.946924387273827</v>
      </c>
      <c r="L98" s="118">
        <f>1/((1+'Ключевые показатели'!$D$65)^((L$97-1)/12))</f>
        <v>0.93957569361954307</v>
      </c>
      <c r="M98" s="118">
        <f>1/((1+'Ключевые показатели'!$D$65)^((M$97-1)/12))</f>
        <v>0.93228403017712203</v>
      </c>
      <c r="N98" s="118">
        <f>1/((1+'Ключевые показатели'!$D$65)^((N$97-1)/12))</f>
        <v>0.92504895435836842</v>
      </c>
      <c r="O98" s="118">
        <f>1/((1+'Ключевые показатели'!$D$65)^((O$97-1)/12))</f>
        <v>0.91787002700983289</v>
      </c>
      <c r="P98" s="143"/>
      <c r="Q98" s="118">
        <f>1/((1+'Ключевые показатели'!$D$65)^(Q$99))</f>
        <v>0.91074681238615662</v>
      </c>
      <c r="R98" s="118">
        <f>1/((1+'Ключевые показатели'!$D$65)^(R$99))</f>
        <v>0.82945975627154511</v>
      </c>
      <c r="S98" s="118"/>
    </row>
    <row r="99" spans="1:19" s="116" customFormat="1" ht="11.25" x14ac:dyDescent="0.2">
      <c r="A99" s="143"/>
      <c r="B99" s="143"/>
      <c r="C99" s="143"/>
      <c r="D99" s="119">
        <v>1</v>
      </c>
      <c r="E99" s="119">
        <v>1</v>
      </c>
      <c r="F99" s="119">
        <v>1</v>
      </c>
      <c r="G99" s="119">
        <v>1</v>
      </c>
      <c r="H99" s="119">
        <v>1</v>
      </c>
      <c r="I99" s="119">
        <v>1</v>
      </c>
      <c r="J99" s="119">
        <v>1</v>
      </c>
      <c r="K99" s="119">
        <v>1</v>
      </c>
      <c r="L99" s="119">
        <v>1</v>
      </c>
      <c r="M99" s="119">
        <v>1</v>
      </c>
      <c r="N99" s="119">
        <v>1</v>
      </c>
      <c r="O99" s="119">
        <v>1</v>
      </c>
      <c r="P99" s="143"/>
      <c r="Q99" s="119">
        <v>1</v>
      </c>
      <c r="R99" s="119">
        <v>2</v>
      </c>
      <c r="S99" s="119"/>
    </row>
    <row r="100" spans="1:19" s="116" customFormat="1" ht="11.25" x14ac:dyDescent="0.2">
      <c r="A100" s="143"/>
      <c r="B100" s="143"/>
      <c r="C100" s="143"/>
      <c r="D100" s="120">
        <v>1</v>
      </c>
      <c r="E100" s="120">
        <v>1</v>
      </c>
      <c r="F100" s="120">
        <v>1</v>
      </c>
      <c r="G100" s="120">
        <v>1</v>
      </c>
      <c r="H100" s="120">
        <v>1</v>
      </c>
      <c r="I100" s="120">
        <v>1</v>
      </c>
      <c r="J100" s="120">
        <v>1</v>
      </c>
      <c r="K100" s="120">
        <v>1</v>
      </c>
      <c r="L100" s="120">
        <v>1</v>
      </c>
      <c r="M100" s="120">
        <v>1</v>
      </c>
      <c r="N100" s="120">
        <v>1</v>
      </c>
      <c r="O100" s="120">
        <v>1</v>
      </c>
      <c r="P100" s="143"/>
      <c r="Q100" s="119">
        <f>SUM(D100:O100)</f>
        <v>12</v>
      </c>
      <c r="R100" s="119">
        <v>12</v>
      </c>
      <c r="S100" s="119"/>
    </row>
    <row r="101" spans="1:19" s="116" customFormat="1" ht="11.25" x14ac:dyDescent="0.2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21" t="s">
        <v>88</v>
      </c>
      <c r="Q101" s="122" t="s">
        <v>58</v>
      </c>
      <c r="R101" s="122" t="s">
        <v>59</v>
      </c>
      <c r="S101" s="143"/>
    </row>
    <row r="102" spans="1:19" s="116" customFormat="1" ht="11.25" x14ac:dyDescent="0.2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23" t="s">
        <v>76</v>
      </c>
      <c r="Q102" s="145">
        <f>Q83</f>
        <v>2532000</v>
      </c>
      <c r="R102" s="146">
        <f>R83</f>
        <v>4770000</v>
      </c>
      <c r="S102" s="144"/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5"/>
  <sheetViews>
    <sheetView zoomScaleSheetLayoutView="100" workbookViewId="0">
      <pane xSplit="3" ySplit="3" topLeftCell="J4" activePane="bottomRight" state="frozen"/>
      <selection pane="topRight" activeCell="C1" sqref="C1"/>
      <selection pane="bottomLeft" activeCell="A3" sqref="A3"/>
      <selection pane="bottomRight" activeCell="B1" sqref="B1:S17"/>
    </sheetView>
  </sheetViews>
  <sheetFormatPr defaultRowHeight="12.75" x14ac:dyDescent="0.2"/>
  <cols>
    <col min="1" max="1" width="2.5703125" style="40" customWidth="1"/>
    <col min="2" max="2" width="2.140625" style="40" customWidth="1"/>
    <col min="3" max="3" width="61.7109375" style="40" bestFit="1" customWidth="1"/>
    <col min="4" max="5" width="10" style="40" bestFit="1" customWidth="1"/>
    <col min="6" max="15" width="11.42578125" style="40" bestFit="1" customWidth="1"/>
    <col min="16" max="16" width="5.7109375" style="40" customWidth="1"/>
    <col min="17" max="18" width="12.42578125" style="40" bestFit="1" customWidth="1"/>
    <col min="19" max="20" width="11.42578125" style="40" bestFit="1" customWidth="1"/>
    <col min="21" max="16384" width="9.140625" style="40"/>
  </cols>
  <sheetData>
    <row r="3" spans="3:20" ht="15" x14ac:dyDescent="0.25">
      <c r="C3" s="38" t="s">
        <v>0</v>
      </c>
      <c r="D3" s="41" t="s">
        <v>99</v>
      </c>
      <c r="E3" s="41" t="s">
        <v>100</v>
      </c>
      <c r="F3" s="41" t="s">
        <v>102</v>
      </c>
      <c r="G3" s="41" t="s">
        <v>103</v>
      </c>
      <c r="H3" s="41" t="s">
        <v>104</v>
      </c>
      <c r="I3" s="41" t="s">
        <v>105</v>
      </c>
      <c r="J3" s="41" t="s">
        <v>106</v>
      </c>
      <c r="K3" s="41" t="s">
        <v>107</v>
      </c>
      <c r="L3" s="41" t="s">
        <v>108</v>
      </c>
      <c r="M3" s="41" t="s">
        <v>109</v>
      </c>
      <c r="N3" s="41" t="s">
        <v>110</v>
      </c>
      <c r="O3" s="41" t="s">
        <v>111</v>
      </c>
      <c r="P3" s="41"/>
      <c r="Q3" s="49" t="s">
        <v>112</v>
      </c>
      <c r="R3" s="49" t="s">
        <v>129</v>
      </c>
      <c r="S3" s="41"/>
      <c r="T3" s="41"/>
    </row>
    <row r="5" spans="3:20" x14ac:dyDescent="0.2">
      <c r="C5" s="35" t="s">
        <v>126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7" spans="3:20" s="4" customFormat="1" ht="12" x14ac:dyDescent="0.2">
      <c r="C7" s="16" t="s">
        <v>116</v>
      </c>
      <c r="D7" s="10">
        <v>40</v>
      </c>
      <c r="E7" s="10">
        <v>80</v>
      </c>
      <c r="F7" s="10">
        <v>80</v>
      </c>
      <c r="G7" s="10">
        <v>120</v>
      </c>
      <c r="H7" s="10">
        <v>160</v>
      </c>
      <c r="I7" s="10">
        <v>160</v>
      </c>
      <c r="J7" s="10">
        <v>200</v>
      </c>
      <c r="K7" s="10">
        <v>200</v>
      </c>
      <c r="L7" s="10">
        <v>200</v>
      </c>
      <c r="M7" s="10">
        <v>200</v>
      </c>
      <c r="N7" s="10">
        <v>200</v>
      </c>
      <c r="O7" s="10">
        <v>200</v>
      </c>
      <c r="P7" s="10"/>
      <c r="Q7" s="47">
        <f>SUM(D7:O7)</f>
        <v>1840</v>
      </c>
      <c r="R7" s="48">
        <v>2400</v>
      </c>
      <c r="S7" s="10"/>
      <c r="T7" s="10"/>
    </row>
    <row r="8" spans="3:20" s="4" customFormat="1" ht="12" x14ac:dyDescent="0.2">
      <c r="C8" s="16" t="s">
        <v>98</v>
      </c>
      <c r="D8" s="10">
        <v>5000</v>
      </c>
      <c r="E8" s="10">
        <v>5000</v>
      </c>
      <c r="F8" s="10">
        <v>5000</v>
      </c>
      <c r="G8" s="10">
        <v>5000</v>
      </c>
      <c r="H8" s="10">
        <v>5000</v>
      </c>
      <c r="I8" s="10">
        <v>5000</v>
      </c>
      <c r="J8" s="10">
        <v>5000</v>
      </c>
      <c r="K8" s="10">
        <v>5000</v>
      </c>
      <c r="L8" s="10">
        <v>5000</v>
      </c>
      <c r="M8" s="10">
        <v>5000</v>
      </c>
      <c r="N8" s="10">
        <v>5000</v>
      </c>
      <c r="O8" s="10">
        <v>5000</v>
      </c>
      <c r="P8" s="10"/>
      <c r="Q8" s="47">
        <f>Q10/Q7</f>
        <v>5000</v>
      </c>
      <c r="R8" s="47">
        <v>5000</v>
      </c>
      <c r="S8" s="10"/>
      <c r="T8" s="10"/>
    </row>
    <row r="9" spans="3:20" s="4" customFormat="1" ht="12" x14ac:dyDescent="0.2">
      <c r="C9" s="16" t="s">
        <v>117</v>
      </c>
      <c r="D9" s="10">
        <v>2</v>
      </c>
      <c r="E9" s="10">
        <v>4</v>
      </c>
      <c r="F9" s="10">
        <v>4</v>
      </c>
      <c r="G9" s="10">
        <v>6</v>
      </c>
      <c r="H9" s="10">
        <v>8</v>
      </c>
      <c r="I9" s="10">
        <v>8</v>
      </c>
      <c r="J9" s="10">
        <v>10</v>
      </c>
      <c r="K9" s="10">
        <v>10</v>
      </c>
      <c r="L9" s="10">
        <v>10</v>
      </c>
      <c r="M9" s="10">
        <v>10</v>
      </c>
      <c r="N9" s="10">
        <v>10</v>
      </c>
      <c r="O9" s="10">
        <v>10</v>
      </c>
      <c r="P9" s="10"/>
      <c r="Q9" s="47"/>
      <c r="R9" s="47"/>
      <c r="S9" s="10"/>
      <c r="T9" s="10"/>
    </row>
    <row r="10" spans="3:20" s="11" customFormat="1" x14ac:dyDescent="0.2">
      <c r="C10" s="13" t="s">
        <v>101</v>
      </c>
      <c r="D10" s="15">
        <f>D8*D7</f>
        <v>200000</v>
      </c>
      <c r="E10" s="15">
        <f>E8*E7</f>
        <v>400000</v>
      </c>
      <c r="F10" s="15">
        <f t="shared" ref="F10:O10" si="0">F8*F7</f>
        <v>400000</v>
      </c>
      <c r="G10" s="15">
        <f t="shared" si="0"/>
        <v>600000</v>
      </c>
      <c r="H10" s="15">
        <f t="shared" si="0"/>
        <v>800000</v>
      </c>
      <c r="I10" s="15">
        <f t="shared" si="0"/>
        <v>800000</v>
      </c>
      <c r="J10" s="15">
        <f t="shared" si="0"/>
        <v>1000000</v>
      </c>
      <c r="K10" s="15">
        <f t="shared" si="0"/>
        <v>1000000</v>
      </c>
      <c r="L10" s="15">
        <f t="shared" si="0"/>
        <v>1000000</v>
      </c>
      <c r="M10" s="15">
        <f t="shared" si="0"/>
        <v>1000000</v>
      </c>
      <c r="N10" s="15">
        <f t="shared" si="0"/>
        <v>1000000</v>
      </c>
      <c r="O10" s="15">
        <f t="shared" si="0"/>
        <v>1000000</v>
      </c>
      <c r="P10" s="15"/>
      <c r="Q10" s="15">
        <f>SUM(D10:O10)</f>
        <v>9200000</v>
      </c>
      <c r="R10" s="15">
        <f>R7*R8</f>
        <v>12000000</v>
      </c>
      <c r="S10" s="15"/>
      <c r="T10" s="15"/>
    </row>
    <row r="15" spans="3:20" s="42" customFormat="1" x14ac:dyDescent="0.2">
      <c r="C15" s="42" t="s">
        <v>49</v>
      </c>
      <c r="D15" s="43">
        <f>D10</f>
        <v>200000</v>
      </c>
      <c r="E15" s="43">
        <f>E10</f>
        <v>400000</v>
      </c>
      <c r="F15" s="43">
        <f t="shared" ref="F15:O15" si="1">F10</f>
        <v>400000</v>
      </c>
      <c r="G15" s="43">
        <f t="shared" si="1"/>
        <v>600000</v>
      </c>
      <c r="H15" s="43">
        <f t="shared" si="1"/>
        <v>800000</v>
      </c>
      <c r="I15" s="43">
        <f t="shared" si="1"/>
        <v>800000</v>
      </c>
      <c r="J15" s="43">
        <f t="shared" si="1"/>
        <v>1000000</v>
      </c>
      <c r="K15" s="43">
        <f t="shared" si="1"/>
        <v>1000000</v>
      </c>
      <c r="L15" s="43">
        <f t="shared" si="1"/>
        <v>1000000</v>
      </c>
      <c r="M15" s="43">
        <f t="shared" si="1"/>
        <v>1000000</v>
      </c>
      <c r="N15" s="43">
        <f t="shared" si="1"/>
        <v>1000000</v>
      </c>
      <c r="O15" s="43">
        <f t="shared" si="1"/>
        <v>1000000</v>
      </c>
      <c r="P15" s="43"/>
      <c r="Q15" s="43">
        <f>Q10</f>
        <v>9200000</v>
      </c>
      <c r="R15" s="43">
        <f>R10</f>
        <v>12000000</v>
      </c>
      <c r="S15" s="43"/>
      <c r="T15" s="43"/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4"/>
  <sheetViews>
    <sheetView zoomScaleSheetLayoutView="100" workbookViewId="0">
      <pane xSplit="3" ySplit="3" topLeftCell="J4" activePane="bottomRight" state="frozen"/>
      <selection pane="topRight" activeCell="C1" sqref="C1"/>
      <selection pane="bottomLeft" activeCell="A3" sqref="A3"/>
      <selection pane="bottomRight" activeCell="C2" sqref="C2:S15"/>
    </sheetView>
  </sheetViews>
  <sheetFormatPr defaultRowHeight="12.75" x14ac:dyDescent="0.2"/>
  <cols>
    <col min="1" max="1" width="2.28515625" style="40" customWidth="1"/>
    <col min="2" max="2" width="2.140625" style="40" customWidth="1"/>
    <col min="3" max="3" width="58.7109375" style="40" customWidth="1"/>
    <col min="4" max="4" width="9" style="40" bestFit="1" customWidth="1"/>
    <col min="5" max="15" width="10" style="40" bestFit="1" customWidth="1"/>
    <col min="16" max="16" width="9.140625" style="40"/>
    <col min="17" max="18" width="12.42578125" style="40" bestFit="1" customWidth="1"/>
    <col min="19" max="16384" width="9.140625" style="40"/>
  </cols>
  <sheetData>
    <row r="3" spans="2:18" ht="15" x14ac:dyDescent="0.25">
      <c r="C3" s="38" t="s">
        <v>4</v>
      </c>
      <c r="D3" s="41" t="s">
        <v>99</v>
      </c>
      <c r="E3" s="41" t="s">
        <v>100</v>
      </c>
      <c r="F3" s="41" t="s">
        <v>102</v>
      </c>
      <c r="G3" s="41" t="s">
        <v>103</v>
      </c>
      <c r="H3" s="41" t="s">
        <v>104</v>
      </c>
      <c r="I3" s="41" t="s">
        <v>105</v>
      </c>
      <c r="J3" s="41" t="s">
        <v>106</v>
      </c>
      <c r="K3" s="41" t="s">
        <v>107</v>
      </c>
      <c r="L3" s="41" t="s">
        <v>108</v>
      </c>
      <c r="M3" s="41" t="s">
        <v>109</v>
      </c>
      <c r="N3" s="41" t="s">
        <v>110</v>
      </c>
      <c r="O3" s="41" t="s">
        <v>111</v>
      </c>
      <c r="Q3" s="49" t="s">
        <v>58</v>
      </c>
      <c r="R3" s="49" t="s">
        <v>59</v>
      </c>
    </row>
    <row r="5" spans="2:18" x14ac:dyDescent="0.2">
      <c r="C5" s="35" t="s">
        <v>126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Q5" s="41"/>
      <c r="R5" s="41"/>
    </row>
    <row r="7" spans="2:18" s="50" customFormat="1" ht="12" x14ac:dyDescent="0.2">
      <c r="C7" s="54" t="s">
        <v>48</v>
      </c>
      <c r="D7" s="47">
        <f>Доходы!D7</f>
        <v>40</v>
      </c>
      <c r="E7" s="47">
        <f>Доходы!E7</f>
        <v>80</v>
      </c>
      <c r="F7" s="47">
        <f>Доходы!F7</f>
        <v>80</v>
      </c>
      <c r="G7" s="47">
        <f>Доходы!G7</f>
        <v>120</v>
      </c>
      <c r="H7" s="47">
        <f>Доходы!H7</f>
        <v>160</v>
      </c>
      <c r="I7" s="47">
        <f>Доходы!I7</f>
        <v>160</v>
      </c>
      <c r="J7" s="47">
        <f>Доходы!J7</f>
        <v>200</v>
      </c>
      <c r="K7" s="47">
        <f>Доходы!K7</f>
        <v>200</v>
      </c>
      <c r="L7" s="47">
        <f>Доходы!L7</f>
        <v>200</v>
      </c>
      <c r="M7" s="47">
        <f>Доходы!M7</f>
        <v>200</v>
      </c>
      <c r="N7" s="47">
        <f>Доходы!N7</f>
        <v>200</v>
      </c>
      <c r="O7" s="47">
        <f>Доходы!O7</f>
        <v>200</v>
      </c>
      <c r="Q7" s="47">
        <f>SUM(D7:O7)</f>
        <v>1840</v>
      </c>
      <c r="R7" s="48">
        <v>2400</v>
      </c>
    </row>
    <row r="8" spans="2:18" s="50" customFormat="1" ht="12" x14ac:dyDescent="0.2">
      <c r="C8" s="51" t="s">
        <v>115</v>
      </c>
      <c r="D8" s="48">
        <v>1000</v>
      </c>
      <c r="E8" s="48">
        <v>1000</v>
      </c>
      <c r="F8" s="48">
        <v>1000</v>
      </c>
      <c r="G8" s="48">
        <v>1000</v>
      </c>
      <c r="H8" s="48">
        <v>1000</v>
      </c>
      <c r="I8" s="48">
        <v>1000</v>
      </c>
      <c r="J8" s="48">
        <v>1000</v>
      </c>
      <c r="K8" s="48">
        <v>1000</v>
      </c>
      <c r="L8" s="48">
        <v>1000</v>
      </c>
      <c r="M8" s="48">
        <v>1000</v>
      </c>
      <c r="N8" s="48">
        <v>1000</v>
      </c>
      <c r="O8" s="48">
        <v>1000</v>
      </c>
      <c r="Q8" s="47">
        <f>Q9/Q7</f>
        <v>1000</v>
      </c>
      <c r="R8" s="47">
        <f>Q8</f>
        <v>1000</v>
      </c>
    </row>
    <row r="9" spans="2:18" s="53" customFormat="1" x14ac:dyDescent="0.2">
      <c r="B9" s="52"/>
      <c r="C9" s="55" t="s">
        <v>114</v>
      </c>
      <c r="D9" s="56">
        <f>D8*D7</f>
        <v>40000</v>
      </c>
      <c r="E9" s="56">
        <f t="shared" ref="E9:O9" si="0">E8*E7</f>
        <v>80000</v>
      </c>
      <c r="F9" s="56">
        <f t="shared" si="0"/>
        <v>80000</v>
      </c>
      <c r="G9" s="56">
        <f t="shared" si="0"/>
        <v>120000</v>
      </c>
      <c r="H9" s="56">
        <f t="shared" si="0"/>
        <v>160000</v>
      </c>
      <c r="I9" s="56">
        <f t="shared" si="0"/>
        <v>160000</v>
      </c>
      <c r="J9" s="56">
        <f t="shared" si="0"/>
        <v>200000</v>
      </c>
      <c r="K9" s="56">
        <f t="shared" si="0"/>
        <v>200000</v>
      </c>
      <c r="L9" s="56">
        <f t="shared" si="0"/>
        <v>200000</v>
      </c>
      <c r="M9" s="56">
        <f t="shared" si="0"/>
        <v>200000</v>
      </c>
      <c r="N9" s="56">
        <f t="shared" si="0"/>
        <v>200000</v>
      </c>
      <c r="O9" s="56">
        <f t="shared" si="0"/>
        <v>200000</v>
      </c>
      <c r="Q9" s="15">
        <f>SUM(D9:O9)</f>
        <v>1840000</v>
      </c>
      <c r="R9" s="15">
        <f>R8*R7</f>
        <v>2400000</v>
      </c>
    </row>
    <row r="14" spans="2:18" x14ac:dyDescent="0.2">
      <c r="C14" s="13" t="s">
        <v>52</v>
      </c>
      <c r="D14" s="15">
        <f>D9</f>
        <v>40000</v>
      </c>
      <c r="E14" s="15">
        <f>E9</f>
        <v>80000</v>
      </c>
      <c r="F14" s="15">
        <f t="shared" ref="F14:O14" si="1">F9</f>
        <v>80000</v>
      </c>
      <c r="G14" s="15">
        <f t="shared" si="1"/>
        <v>120000</v>
      </c>
      <c r="H14" s="15">
        <f t="shared" si="1"/>
        <v>160000</v>
      </c>
      <c r="I14" s="15">
        <f t="shared" si="1"/>
        <v>160000</v>
      </c>
      <c r="J14" s="15">
        <f t="shared" si="1"/>
        <v>200000</v>
      </c>
      <c r="K14" s="15">
        <f t="shared" si="1"/>
        <v>200000</v>
      </c>
      <c r="L14" s="15">
        <f t="shared" si="1"/>
        <v>200000</v>
      </c>
      <c r="M14" s="15">
        <f t="shared" si="1"/>
        <v>200000</v>
      </c>
      <c r="N14" s="15">
        <f t="shared" si="1"/>
        <v>200000</v>
      </c>
      <c r="O14" s="15">
        <f t="shared" si="1"/>
        <v>200000</v>
      </c>
      <c r="Q14" s="15">
        <f>Q9</f>
        <v>1840000</v>
      </c>
      <c r="R14" s="15">
        <f>R9</f>
        <v>2400000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S47"/>
  <sheetViews>
    <sheetView zoomScaleSheetLayoutView="100" workbookViewId="0">
      <pane xSplit="4" ySplit="3" topLeftCell="E31" activePane="bottomRight" state="frozen"/>
      <selection pane="topRight" activeCell="D1" sqref="D1"/>
      <selection pane="bottomLeft" activeCell="A4" sqref="A4"/>
      <selection pane="bottomRight" activeCell="C50" sqref="C50"/>
    </sheetView>
  </sheetViews>
  <sheetFormatPr defaultRowHeight="12.75" x14ac:dyDescent="0.2"/>
  <cols>
    <col min="1" max="1" width="1.42578125" style="11" customWidth="1"/>
    <col min="2" max="2" width="2.28515625" style="11" customWidth="1"/>
    <col min="3" max="3" width="45.140625" style="11" customWidth="1"/>
    <col min="4" max="4" width="9" style="11" customWidth="1"/>
    <col min="5" max="5" width="12.42578125" style="11" bestFit="1" customWidth="1"/>
    <col min="6" max="16" width="11.42578125" style="11" bestFit="1" customWidth="1"/>
    <col min="17" max="17" width="6.140625" style="11" customWidth="1"/>
    <col min="18" max="18" width="14" style="11" customWidth="1"/>
    <col min="19" max="19" width="10.42578125" style="11" bestFit="1" customWidth="1"/>
    <col min="20" max="16384" width="9.140625" style="11"/>
  </cols>
  <sheetData>
    <row r="3" spans="3:19" ht="15" x14ac:dyDescent="0.25">
      <c r="C3" s="38" t="s">
        <v>42</v>
      </c>
      <c r="D3" s="3"/>
      <c r="E3" s="12" t="s">
        <v>99</v>
      </c>
      <c r="F3" s="12" t="s">
        <v>100</v>
      </c>
      <c r="G3" s="12" t="s">
        <v>102</v>
      </c>
      <c r="H3" s="12" t="s">
        <v>103</v>
      </c>
      <c r="I3" s="12" t="s">
        <v>104</v>
      </c>
      <c r="J3" s="12" t="s">
        <v>105</v>
      </c>
      <c r="K3" s="12" t="s">
        <v>106</v>
      </c>
      <c r="L3" s="12" t="s">
        <v>107</v>
      </c>
      <c r="M3" s="12" t="s">
        <v>108</v>
      </c>
      <c r="N3" s="12" t="s">
        <v>109</v>
      </c>
      <c r="O3" s="12" t="s">
        <v>110</v>
      </c>
      <c r="P3" s="12" t="s">
        <v>111</v>
      </c>
      <c r="R3" s="49" t="s">
        <v>112</v>
      </c>
      <c r="S3" s="49" t="s">
        <v>129</v>
      </c>
    </row>
    <row r="5" spans="3:19" x14ac:dyDescent="0.2">
      <c r="C5" s="32" t="s">
        <v>6</v>
      </c>
      <c r="D5" s="32"/>
      <c r="E5" s="10">
        <f>E21+E22</f>
        <v>34000</v>
      </c>
      <c r="F5" s="10">
        <f>F21+F22</f>
        <v>68000</v>
      </c>
      <c r="G5" s="10">
        <f t="shared" ref="G5:P5" si="0">G21+G22</f>
        <v>68000</v>
      </c>
      <c r="H5" s="10">
        <f t="shared" si="0"/>
        <v>102000</v>
      </c>
      <c r="I5" s="10">
        <f t="shared" si="0"/>
        <v>136000</v>
      </c>
      <c r="J5" s="10">
        <f t="shared" si="0"/>
        <v>136000</v>
      </c>
      <c r="K5" s="10">
        <f t="shared" si="0"/>
        <v>170000</v>
      </c>
      <c r="L5" s="10">
        <f t="shared" si="0"/>
        <v>170000</v>
      </c>
      <c r="M5" s="10">
        <f t="shared" si="0"/>
        <v>170000</v>
      </c>
      <c r="N5" s="10">
        <f t="shared" si="0"/>
        <v>170000</v>
      </c>
      <c r="O5" s="10">
        <f t="shared" si="0"/>
        <v>170000</v>
      </c>
      <c r="P5" s="10">
        <f t="shared" si="0"/>
        <v>170000</v>
      </c>
      <c r="R5" s="10">
        <f>R21+R22</f>
        <v>1564000</v>
      </c>
      <c r="S5" s="10">
        <f>S21+S22</f>
        <v>2040000</v>
      </c>
    </row>
    <row r="6" spans="3:19" x14ac:dyDescent="0.2">
      <c r="C6" s="32" t="s">
        <v>7</v>
      </c>
      <c r="D6" s="3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R6" s="10"/>
      <c r="S6" s="10"/>
    </row>
    <row r="7" spans="3:19" x14ac:dyDescent="0.2">
      <c r="C7" s="32" t="s">
        <v>43</v>
      </c>
      <c r="D7" s="3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R7" s="10"/>
      <c r="S7" s="10"/>
    </row>
    <row r="8" spans="3:19" x14ac:dyDescent="0.2">
      <c r="C8" s="33" t="s">
        <v>9</v>
      </c>
      <c r="D8" s="33"/>
      <c r="E8" s="9">
        <f>SUM(E5:E7)</f>
        <v>34000</v>
      </c>
      <c r="F8" s="9">
        <f t="shared" ref="F8:P8" si="1">SUM(F5:F7)</f>
        <v>68000</v>
      </c>
      <c r="G8" s="9">
        <f t="shared" si="1"/>
        <v>68000</v>
      </c>
      <c r="H8" s="9">
        <f t="shared" si="1"/>
        <v>102000</v>
      </c>
      <c r="I8" s="9">
        <f t="shared" si="1"/>
        <v>136000</v>
      </c>
      <c r="J8" s="9">
        <f t="shared" si="1"/>
        <v>136000</v>
      </c>
      <c r="K8" s="9">
        <f t="shared" si="1"/>
        <v>170000</v>
      </c>
      <c r="L8" s="9">
        <f t="shared" si="1"/>
        <v>170000</v>
      </c>
      <c r="M8" s="9">
        <f t="shared" si="1"/>
        <v>170000</v>
      </c>
      <c r="N8" s="9">
        <f t="shared" si="1"/>
        <v>170000</v>
      </c>
      <c r="O8" s="9">
        <f t="shared" si="1"/>
        <v>170000</v>
      </c>
      <c r="P8" s="9">
        <f t="shared" si="1"/>
        <v>170000</v>
      </c>
      <c r="R8" s="9">
        <f>SUM(R5:R7)</f>
        <v>1564000</v>
      </c>
      <c r="S8" s="9">
        <f>SUM(S5:S7)</f>
        <v>2040000</v>
      </c>
    </row>
    <row r="9" spans="3:19" x14ac:dyDescent="0.2">
      <c r="C9" s="32" t="s">
        <v>10</v>
      </c>
      <c r="D9" s="32"/>
      <c r="E9" s="10">
        <f>E25</f>
        <v>10000</v>
      </c>
      <c r="F9" s="10">
        <f t="shared" ref="F9:P9" si="2">F25</f>
        <v>20000</v>
      </c>
      <c r="G9" s="10">
        <f t="shared" si="2"/>
        <v>20000</v>
      </c>
      <c r="H9" s="10">
        <f t="shared" si="2"/>
        <v>30000</v>
      </c>
      <c r="I9" s="10">
        <f t="shared" si="2"/>
        <v>40000</v>
      </c>
      <c r="J9" s="10">
        <f t="shared" si="2"/>
        <v>40000</v>
      </c>
      <c r="K9" s="10">
        <f t="shared" si="2"/>
        <v>50000</v>
      </c>
      <c r="L9" s="10">
        <f t="shared" si="2"/>
        <v>50000</v>
      </c>
      <c r="M9" s="10">
        <f t="shared" si="2"/>
        <v>50000</v>
      </c>
      <c r="N9" s="10">
        <f t="shared" si="2"/>
        <v>50000</v>
      </c>
      <c r="O9" s="10">
        <f t="shared" si="2"/>
        <v>50000</v>
      </c>
      <c r="P9" s="10">
        <f t="shared" si="2"/>
        <v>50000</v>
      </c>
      <c r="R9" s="10">
        <f>R25</f>
        <v>460000</v>
      </c>
      <c r="S9" s="10">
        <f>S25</f>
        <v>600000</v>
      </c>
    </row>
    <row r="10" spans="3:19" x14ac:dyDescent="0.2">
      <c r="C10" s="32" t="s">
        <v>11</v>
      </c>
      <c r="D10" s="3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R10" s="10"/>
      <c r="S10" s="10"/>
    </row>
    <row r="11" spans="3:19" x14ac:dyDescent="0.2">
      <c r="C11" s="32" t="s">
        <v>44</v>
      </c>
      <c r="D11" s="3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R11" s="10"/>
      <c r="S11" s="10"/>
    </row>
    <row r="12" spans="3:19" x14ac:dyDescent="0.2">
      <c r="C12" s="33" t="s">
        <v>13</v>
      </c>
      <c r="D12" s="33"/>
      <c r="E12" s="9">
        <f>SUM(E9:E11)</f>
        <v>10000</v>
      </c>
      <c r="F12" s="9">
        <f t="shared" ref="F12:P12" si="3">SUM(F9:F11)</f>
        <v>20000</v>
      </c>
      <c r="G12" s="9">
        <f t="shared" si="3"/>
        <v>20000</v>
      </c>
      <c r="H12" s="9">
        <f t="shared" si="3"/>
        <v>30000</v>
      </c>
      <c r="I12" s="9">
        <f t="shared" si="3"/>
        <v>40000</v>
      </c>
      <c r="J12" s="9">
        <f t="shared" si="3"/>
        <v>40000</v>
      </c>
      <c r="K12" s="9">
        <f t="shared" si="3"/>
        <v>50000</v>
      </c>
      <c r="L12" s="9">
        <f t="shared" si="3"/>
        <v>50000</v>
      </c>
      <c r="M12" s="9">
        <f t="shared" si="3"/>
        <v>50000</v>
      </c>
      <c r="N12" s="9">
        <f t="shared" si="3"/>
        <v>50000</v>
      </c>
      <c r="O12" s="9">
        <f t="shared" si="3"/>
        <v>50000</v>
      </c>
      <c r="P12" s="9">
        <f t="shared" si="3"/>
        <v>50000</v>
      </c>
      <c r="R12" s="9">
        <f>SUM(R9:R11)</f>
        <v>460000</v>
      </c>
      <c r="S12" s="9">
        <f>SUM(S9:S11)</f>
        <v>600000</v>
      </c>
    </row>
    <row r="13" spans="3:19" x14ac:dyDescent="0.2">
      <c r="C13" s="32" t="s">
        <v>14</v>
      </c>
      <c r="D13" s="32"/>
      <c r="E13" s="10">
        <f t="shared" ref="E13:J13" si="4">E28</f>
        <v>20000</v>
      </c>
      <c r="F13" s="10">
        <f t="shared" si="4"/>
        <v>30000</v>
      </c>
      <c r="G13" s="10">
        <f t="shared" si="4"/>
        <v>30000</v>
      </c>
      <c r="H13" s="10">
        <f t="shared" si="4"/>
        <v>40000</v>
      </c>
      <c r="I13" s="10">
        <f t="shared" si="4"/>
        <v>40000</v>
      </c>
      <c r="J13" s="10">
        <f t="shared" si="4"/>
        <v>40000</v>
      </c>
      <c r="K13" s="10">
        <f t="shared" ref="K13:P13" si="5">K28</f>
        <v>50000</v>
      </c>
      <c r="L13" s="10">
        <f t="shared" si="5"/>
        <v>50000</v>
      </c>
      <c r="M13" s="10">
        <f t="shared" si="5"/>
        <v>50000</v>
      </c>
      <c r="N13" s="10">
        <f t="shared" si="5"/>
        <v>50000</v>
      </c>
      <c r="O13" s="10">
        <f t="shared" si="5"/>
        <v>50000</v>
      </c>
      <c r="P13" s="10">
        <f t="shared" si="5"/>
        <v>50000</v>
      </c>
      <c r="R13" s="10">
        <f>R28</f>
        <v>500000</v>
      </c>
      <c r="S13" s="10">
        <f>S28</f>
        <v>600000</v>
      </c>
    </row>
    <row r="14" spans="3:19" x14ac:dyDescent="0.2">
      <c r="C14" s="32" t="s">
        <v>15</v>
      </c>
      <c r="D14" s="3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R14" s="10"/>
      <c r="S14" s="10"/>
    </row>
    <row r="15" spans="3:19" x14ac:dyDescent="0.2">
      <c r="C15" s="32" t="s">
        <v>45</v>
      </c>
      <c r="D15" s="32"/>
      <c r="E15" s="10">
        <f>E13*0.34</f>
        <v>6800.0000000000009</v>
      </c>
      <c r="F15" s="10">
        <f t="shared" ref="F15:P15" si="6">F13*0.34</f>
        <v>10200</v>
      </c>
      <c r="G15" s="10">
        <f t="shared" si="6"/>
        <v>10200</v>
      </c>
      <c r="H15" s="10">
        <f t="shared" si="6"/>
        <v>13600.000000000002</v>
      </c>
      <c r="I15" s="10">
        <f t="shared" si="6"/>
        <v>13600.000000000002</v>
      </c>
      <c r="J15" s="10">
        <f t="shared" si="6"/>
        <v>13600.000000000002</v>
      </c>
      <c r="K15" s="10">
        <f t="shared" si="6"/>
        <v>17000</v>
      </c>
      <c r="L15" s="10">
        <f t="shared" si="6"/>
        <v>17000</v>
      </c>
      <c r="M15" s="10">
        <f t="shared" si="6"/>
        <v>17000</v>
      </c>
      <c r="N15" s="10">
        <f t="shared" si="6"/>
        <v>17000</v>
      </c>
      <c r="O15" s="10">
        <f t="shared" si="6"/>
        <v>17000</v>
      </c>
      <c r="P15" s="10">
        <f t="shared" si="6"/>
        <v>17000</v>
      </c>
      <c r="R15" s="10">
        <f>R13*0.34</f>
        <v>170000</v>
      </c>
      <c r="S15" s="10">
        <f>S13*0.34</f>
        <v>204000.00000000003</v>
      </c>
    </row>
    <row r="16" spans="3:19" x14ac:dyDescent="0.2">
      <c r="C16" s="33" t="s">
        <v>17</v>
      </c>
      <c r="D16" s="33"/>
      <c r="E16" s="9">
        <f>SUM(E13:E15)</f>
        <v>26800</v>
      </c>
      <c r="F16" s="9">
        <f t="shared" ref="F16:P16" si="7">SUM(F13:F15)</f>
        <v>40200</v>
      </c>
      <c r="G16" s="9">
        <f t="shared" si="7"/>
        <v>40200</v>
      </c>
      <c r="H16" s="9">
        <f t="shared" si="7"/>
        <v>53600</v>
      </c>
      <c r="I16" s="9">
        <f t="shared" si="7"/>
        <v>53600</v>
      </c>
      <c r="J16" s="9">
        <f t="shared" si="7"/>
        <v>53600</v>
      </c>
      <c r="K16" s="9">
        <f t="shared" si="7"/>
        <v>67000</v>
      </c>
      <c r="L16" s="9">
        <f t="shared" si="7"/>
        <v>67000</v>
      </c>
      <c r="M16" s="9">
        <f t="shared" si="7"/>
        <v>67000</v>
      </c>
      <c r="N16" s="9">
        <f t="shared" si="7"/>
        <v>67000</v>
      </c>
      <c r="O16" s="9">
        <f t="shared" si="7"/>
        <v>67000</v>
      </c>
      <c r="P16" s="9">
        <f t="shared" si="7"/>
        <v>67000</v>
      </c>
      <c r="R16" s="9">
        <f>SUM(R13:R15)</f>
        <v>670000</v>
      </c>
      <c r="S16" s="9">
        <f>SUM(S13:S15)</f>
        <v>804000</v>
      </c>
    </row>
    <row r="17" spans="3:19" x14ac:dyDescent="0.2">
      <c r="C17" s="14" t="s">
        <v>5</v>
      </c>
      <c r="D17" s="14"/>
      <c r="E17" s="8">
        <f>E8+E12+E16</f>
        <v>70800</v>
      </c>
      <c r="F17" s="8">
        <f t="shared" ref="F17:P17" si="8">F8+F12+F16</f>
        <v>128200</v>
      </c>
      <c r="G17" s="8">
        <f t="shared" si="8"/>
        <v>128200</v>
      </c>
      <c r="H17" s="8">
        <f t="shared" si="8"/>
        <v>185600</v>
      </c>
      <c r="I17" s="8">
        <f t="shared" si="8"/>
        <v>229600</v>
      </c>
      <c r="J17" s="8">
        <f t="shared" si="8"/>
        <v>229600</v>
      </c>
      <c r="K17" s="8">
        <f t="shared" si="8"/>
        <v>287000</v>
      </c>
      <c r="L17" s="8">
        <f t="shared" si="8"/>
        <v>287000</v>
      </c>
      <c r="M17" s="8">
        <f t="shared" si="8"/>
        <v>287000</v>
      </c>
      <c r="N17" s="8">
        <f t="shared" si="8"/>
        <v>287000</v>
      </c>
      <c r="O17" s="8">
        <f t="shared" si="8"/>
        <v>287000</v>
      </c>
      <c r="P17" s="8">
        <f t="shared" si="8"/>
        <v>287000</v>
      </c>
      <c r="R17" s="8">
        <f>R8+R12+R16</f>
        <v>2694000</v>
      </c>
      <c r="S17" s="8">
        <f>S8+S12+S16</f>
        <v>3444000</v>
      </c>
    </row>
    <row r="20" spans="3:19" x14ac:dyDescent="0.2">
      <c r="C20" s="39" t="s">
        <v>41</v>
      </c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3:19" x14ac:dyDescent="0.2">
      <c r="C21" s="11" t="s">
        <v>118</v>
      </c>
      <c r="D21" s="60">
        <v>7.0000000000000007E-2</v>
      </c>
      <c r="E21" s="10">
        <f>$D21*Доходы!D10</f>
        <v>14000.000000000002</v>
      </c>
      <c r="F21" s="10">
        <f>$D21*Доходы!E10</f>
        <v>28000.000000000004</v>
      </c>
      <c r="G21" s="10">
        <f>$D21*Доходы!F10</f>
        <v>28000.000000000004</v>
      </c>
      <c r="H21" s="10">
        <f>$D21*Доходы!G10</f>
        <v>42000.000000000007</v>
      </c>
      <c r="I21" s="10">
        <f>$D21*Доходы!H10</f>
        <v>56000.000000000007</v>
      </c>
      <c r="J21" s="10">
        <f>$D21*Доходы!I10</f>
        <v>56000.000000000007</v>
      </c>
      <c r="K21" s="10">
        <f>$D21*Доходы!J10</f>
        <v>70000</v>
      </c>
      <c r="L21" s="10">
        <f>$D21*Доходы!K10</f>
        <v>70000</v>
      </c>
      <c r="M21" s="10">
        <f>$D21*Доходы!L10</f>
        <v>70000</v>
      </c>
      <c r="N21" s="10">
        <f>$D21*Доходы!M10</f>
        <v>70000</v>
      </c>
      <c r="O21" s="10">
        <f>$D21*Доходы!N10</f>
        <v>70000</v>
      </c>
      <c r="P21" s="10">
        <f>$D21*Доходы!O10</f>
        <v>70000</v>
      </c>
      <c r="R21" s="34">
        <f>SUM(E21:P21)</f>
        <v>644000</v>
      </c>
      <c r="S21" s="34">
        <f>P21*12</f>
        <v>840000</v>
      </c>
    </row>
    <row r="22" spans="3:19" x14ac:dyDescent="0.2">
      <c r="C22" s="11" t="s">
        <v>119</v>
      </c>
      <c r="D22" s="60">
        <v>0.1</v>
      </c>
      <c r="E22" s="10">
        <f>$D22*Доходы!D15</f>
        <v>20000</v>
      </c>
      <c r="F22" s="10">
        <f>$D22*Доходы!E15</f>
        <v>40000</v>
      </c>
      <c r="G22" s="10">
        <f>$D22*Доходы!F15</f>
        <v>40000</v>
      </c>
      <c r="H22" s="10">
        <f>$D22*Доходы!G15</f>
        <v>60000</v>
      </c>
      <c r="I22" s="10">
        <f>$D22*Доходы!H15</f>
        <v>80000</v>
      </c>
      <c r="J22" s="10">
        <f>$D22*Доходы!I15</f>
        <v>80000</v>
      </c>
      <c r="K22" s="10">
        <f>$D22*Доходы!J15</f>
        <v>100000</v>
      </c>
      <c r="L22" s="10">
        <f>$D22*Доходы!K15</f>
        <v>100000</v>
      </c>
      <c r="M22" s="10">
        <f>$D22*Доходы!L15</f>
        <v>100000</v>
      </c>
      <c r="N22" s="10">
        <f>$D22*Доходы!M15</f>
        <v>100000</v>
      </c>
      <c r="O22" s="10">
        <f>$D22*Доходы!N15</f>
        <v>100000</v>
      </c>
      <c r="P22" s="10">
        <f>$D22*Доходы!O15</f>
        <v>100000</v>
      </c>
      <c r="Q22" s="10">
        <f>$D22*Доходы!P15</f>
        <v>0</v>
      </c>
      <c r="R22" s="10">
        <f>$D22*Доходы!Q15</f>
        <v>920000</v>
      </c>
      <c r="S22" s="10">
        <f>P22*12</f>
        <v>1200000</v>
      </c>
    </row>
    <row r="24" spans="3:19" x14ac:dyDescent="0.2">
      <c r="C24" s="39" t="s">
        <v>46</v>
      </c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3:19" x14ac:dyDescent="0.2">
      <c r="C25" s="11" t="s">
        <v>96</v>
      </c>
      <c r="D25" s="60">
        <v>0.05</v>
      </c>
      <c r="E25" s="61">
        <f>$D25*Доходы!D15</f>
        <v>10000</v>
      </c>
      <c r="F25" s="61">
        <f>$D25*Доходы!E15</f>
        <v>20000</v>
      </c>
      <c r="G25" s="61">
        <f>$D25*Доходы!F15</f>
        <v>20000</v>
      </c>
      <c r="H25" s="61">
        <f>$D25*Доходы!G15</f>
        <v>30000</v>
      </c>
      <c r="I25" s="61">
        <f>$D25*Доходы!H15</f>
        <v>40000</v>
      </c>
      <c r="J25" s="61">
        <f>$D25*Доходы!I15</f>
        <v>40000</v>
      </c>
      <c r="K25" s="61">
        <f>$D25*Доходы!J15</f>
        <v>50000</v>
      </c>
      <c r="L25" s="61">
        <f>$D25*Доходы!K15</f>
        <v>50000</v>
      </c>
      <c r="M25" s="61">
        <f>$D25*Доходы!L15</f>
        <v>50000</v>
      </c>
      <c r="N25" s="61">
        <f>$D25*Доходы!M15</f>
        <v>50000</v>
      </c>
      <c r="O25" s="61">
        <f>$D25*Доходы!N15</f>
        <v>50000</v>
      </c>
      <c r="P25" s="61">
        <f>$D25*Доходы!O15</f>
        <v>50000</v>
      </c>
      <c r="R25" s="34">
        <f>SUM(E25:P25)</f>
        <v>460000</v>
      </c>
      <c r="S25" s="34">
        <f>P25*12</f>
        <v>600000</v>
      </c>
    </row>
    <row r="27" spans="3:19" x14ac:dyDescent="0.2">
      <c r="C27" s="39" t="s">
        <v>47</v>
      </c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3:19" x14ac:dyDescent="0.2">
      <c r="C28" s="11" t="s">
        <v>120</v>
      </c>
      <c r="D28" s="34"/>
      <c r="E28" s="10">
        <v>20000</v>
      </c>
      <c r="F28" s="10">
        <v>30000</v>
      </c>
      <c r="G28" s="10">
        <v>30000</v>
      </c>
      <c r="H28" s="10">
        <v>40000</v>
      </c>
      <c r="I28" s="10">
        <v>40000</v>
      </c>
      <c r="J28" s="10">
        <v>40000</v>
      </c>
      <c r="K28" s="10">
        <v>50000</v>
      </c>
      <c r="L28" s="10">
        <v>50000</v>
      </c>
      <c r="M28" s="10">
        <v>50000</v>
      </c>
      <c r="N28" s="10">
        <v>50000</v>
      </c>
      <c r="O28" s="10">
        <v>50000</v>
      </c>
      <c r="P28" s="10">
        <v>50000</v>
      </c>
      <c r="R28" s="34">
        <f>SUM(E28:P28)</f>
        <v>500000</v>
      </c>
      <c r="S28" s="34">
        <f>P28*12</f>
        <v>600000</v>
      </c>
    </row>
    <row r="31" spans="3:19" ht="15" x14ac:dyDescent="0.25">
      <c r="C31" s="38" t="s">
        <v>56</v>
      </c>
      <c r="E31" s="10">
        <v>5000</v>
      </c>
      <c r="F31" s="10">
        <v>5000</v>
      </c>
      <c r="G31" s="10">
        <v>5000</v>
      </c>
      <c r="H31" s="10">
        <v>5000</v>
      </c>
      <c r="I31" s="10">
        <v>5000</v>
      </c>
      <c r="J31" s="10">
        <v>5000</v>
      </c>
      <c r="K31" s="10">
        <v>5000</v>
      </c>
      <c r="L31" s="10">
        <v>5000</v>
      </c>
      <c r="M31" s="10">
        <v>5000</v>
      </c>
      <c r="N31" s="10">
        <v>5000</v>
      </c>
      <c r="O31" s="10">
        <v>5000</v>
      </c>
      <c r="P31" s="10">
        <v>5000</v>
      </c>
      <c r="R31" s="34">
        <f>SUM(E31:P31)</f>
        <v>60000</v>
      </c>
      <c r="S31" s="34">
        <f>P31*12</f>
        <v>60000</v>
      </c>
    </row>
    <row r="33" spans="3:19" ht="15" x14ac:dyDescent="0.25">
      <c r="C33" s="38" t="s">
        <v>50</v>
      </c>
    </row>
    <row r="34" spans="3:19" x14ac:dyDescent="0.2">
      <c r="C34" s="13" t="s">
        <v>19</v>
      </c>
      <c r="D34" s="13"/>
      <c r="E34" s="34">
        <f>E35*E36</f>
        <v>17500</v>
      </c>
      <c r="F34" s="34">
        <f t="shared" ref="F34:P34" si="9">F35*F36</f>
        <v>17500</v>
      </c>
      <c r="G34" s="34">
        <f t="shared" si="9"/>
        <v>17500</v>
      </c>
      <c r="H34" s="34">
        <f t="shared" si="9"/>
        <v>17500</v>
      </c>
      <c r="I34" s="34">
        <f t="shared" si="9"/>
        <v>17500</v>
      </c>
      <c r="J34" s="34">
        <f t="shared" si="9"/>
        <v>17500</v>
      </c>
      <c r="K34" s="34">
        <f t="shared" si="9"/>
        <v>17500</v>
      </c>
      <c r="L34" s="34">
        <f t="shared" si="9"/>
        <v>17500</v>
      </c>
      <c r="M34" s="34">
        <f t="shared" si="9"/>
        <v>17500</v>
      </c>
      <c r="N34" s="34">
        <f t="shared" si="9"/>
        <v>17500</v>
      </c>
      <c r="O34" s="34">
        <f t="shared" si="9"/>
        <v>17500</v>
      </c>
      <c r="P34" s="34">
        <f t="shared" si="9"/>
        <v>17500</v>
      </c>
      <c r="R34" s="34">
        <f>SUM(E34:P34)</f>
        <v>210000</v>
      </c>
      <c r="S34" s="34">
        <f>P34*12</f>
        <v>210000</v>
      </c>
    </row>
    <row r="35" spans="3:19" x14ac:dyDescent="0.2">
      <c r="C35" s="32" t="s">
        <v>133</v>
      </c>
      <c r="D35" s="34"/>
      <c r="E35" s="10">
        <v>50</v>
      </c>
      <c r="F35" s="10">
        <v>50</v>
      </c>
      <c r="G35" s="10">
        <v>50</v>
      </c>
      <c r="H35" s="10">
        <v>50</v>
      </c>
      <c r="I35" s="10">
        <v>50</v>
      </c>
      <c r="J35" s="10">
        <v>50</v>
      </c>
      <c r="K35" s="10">
        <v>50</v>
      </c>
      <c r="L35" s="10">
        <v>50</v>
      </c>
      <c r="M35" s="10">
        <v>50</v>
      </c>
      <c r="N35" s="10">
        <v>50</v>
      </c>
      <c r="O35" s="10">
        <v>50</v>
      </c>
      <c r="P35" s="10">
        <v>50</v>
      </c>
    </row>
    <row r="36" spans="3:19" x14ac:dyDescent="0.2">
      <c r="C36" s="32" t="s">
        <v>51</v>
      </c>
      <c r="D36" s="34"/>
      <c r="E36" s="10">
        <v>350</v>
      </c>
      <c r="F36" s="10">
        <v>350</v>
      </c>
      <c r="G36" s="10">
        <v>350</v>
      </c>
      <c r="H36" s="10">
        <v>350</v>
      </c>
      <c r="I36" s="10">
        <v>350</v>
      </c>
      <c r="J36" s="10">
        <v>350</v>
      </c>
      <c r="K36" s="10">
        <v>350</v>
      </c>
      <c r="L36" s="10">
        <v>350</v>
      </c>
      <c r="M36" s="10">
        <v>350</v>
      </c>
      <c r="N36" s="10">
        <v>350</v>
      </c>
      <c r="O36" s="10">
        <v>350</v>
      </c>
      <c r="P36" s="10">
        <v>350</v>
      </c>
    </row>
    <row r="40" spans="3:19" ht="15" x14ac:dyDescent="0.25">
      <c r="C40" s="38" t="s">
        <v>55</v>
      </c>
      <c r="E40" s="34">
        <v>6000</v>
      </c>
      <c r="F40" s="34">
        <f>Доходы!E15*0.03</f>
        <v>12000</v>
      </c>
      <c r="G40" s="34">
        <f>Доходы!F15*0.03</f>
        <v>12000</v>
      </c>
      <c r="H40" s="34">
        <f>Доходы!G15*0.03</f>
        <v>18000</v>
      </c>
      <c r="I40" s="34">
        <f>Доходы!H15*0.03</f>
        <v>24000</v>
      </c>
      <c r="J40" s="34">
        <f>Доходы!I15*0.03</f>
        <v>24000</v>
      </c>
      <c r="K40" s="34">
        <f>Доходы!J15*0.03</f>
        <v>30000</v>
      </c>
      <c r="L40" s="34">
        <f>Доходы!K15*0.03</f>
        <v>30000</v>
      </c>
      <c r="M40" s="34">
        <f>Доходы!L15*0.03</f>
        <v>30000</v>
      </c>
      <c r="N40" s="34">
        <f>Доходы!M15*0.03</f>
        <v>30000</v>
      </c>
      <c r="O40" s="34">
        <f>Доходы!N15*0.03</f>
        <v>30000</v>
      </c>
      <c r="P40" s="34">
        <f>Доходы!O15*0.03</f>
        <v>30000</v>
      </c>
      <c r="R40" s="34">
        <f>SUM(E40:P40)</f>
        <v>276000</v>
      </c>
      <c r="S40" s="34">
        <f>P40*12</f>
        <v>360000</v>
      </c>
    </row>
    <row r="42" spans="3:19" ht="15" x14ac:dyDescent="0.25">
      <c r="C42" s="38" t="s">
        <v>60</v>
      </c>
      <c r="E42" s="45">
        <v>3000</v>
      </c>
      <c r="F42" s="45">
        <v>3000</v>
      </c>
      <c r="G42" s="45">
        <v>3000</v>
      </c>
      <c r="H42" s="45">
        <v>3000</v>
      </c>
      <c r="I42" s="45">
        <v>3000</v>
      </c>
      <c r="J42" s="45">
        <v>3000</v>
      </c>
      <c r="K42" s="45">
        <v>3000</v>
      </c>
      <c r="L42" s="45">
        <v>3000</v>
      </c>
      <c r="M42" s="45">
        <v>3000</v>
      </c>
      <c r="N42" s="45">
        <v>3000</v>
      </c>
      <c r="O42" s="45">
        <v>3000</v>
      </c>
      <c r="P42" s="45">
        <v>3000</v>
      </c>
      <c r="R42" s="34">
        <f>SUM(E42:P42)</f>
        <v>36000</v>
      </c>
      <c r="S42" s="34">
        <f>P42*12</f>
        <v>36000</v>
      </c>
    </row>
    <row r="45" spans="3:19" ht="15" x14ac:dyDescent="0.25">
      <c r="C45" s="38" t="s">
        <v>54</v>
      </c>
      <c r="E45" s="34">
        <f>Доходы!D15*0.06</f>
        <v>12000</v>
      </c>
      <c r="F45" s="34">
        <f>Доходы!E15*0.06</f>
        <v>24000</v>
      </c>
      <c r="G45" s="34">
        <f>Доходы!F15*0.06</f>
        <v>24000</v>
      </c>
      <c r="H45" s="34">
        <f>Доходы!G15*0.06</f>
        <v>36000</v>
      </c>
      <c r="I45" s="34">
        <f>Доходы!H15*0.06</f>
        <v>48000</v>
      </c>
      <c r="J45" s="34">
        <f>Доходы!I15*0.06</f>
        <v>48000</v>
      </c>
      <c r="K45" s="34">
        <f>Доходы!J15*0.06</f>
        <v>60000</v>
      </c>
      <c r="L45" s="34">
        <f>Доходы!K15*0.06</f>
        <v>60000</v>
      </c>
      <c r="M45" s="34">
        <f>Доходы!L15*0.06</f>
        <v>60000</v>
      </c>
      <c r="N45" s="34">
        <f>Доходы!M15*0.06</f>
        <v>60000</v>
      </c>
      <c r="O45" s="34">
        <f>Доходы!N15*0.06</f>
        <v>60000</v>
      </c>
      <c r="P45" s="34">
        <f>Доходы!O15*0.06</f>
        <v>60000</v>
      </c>
      <c r="R45" s="34">
        <f>SUM(E45:P45)</f>
        <v>552000</v>
      </c>
      <c r="S45" s="34">
        <f>P45*12</f>
        <v>720000</v>
      </c>
    </row>
    <row r="47" spans="3:19" x14ac:dyDescent="0.2">
      <c r="E47" s="155"/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17"/>
  <sheetViews>
    <sheetView workbookViewId="0">
      <pane xSplit="2" ySplit="6" topLeftCell="F7" activePane="bottomRight" state="frozen"/>
      <selection pane="topRight" activeCell="C1" sqref="C1"/>
      <selection pane="bottomLeft" activeCell="A7" sqref="A7"/>
      <selection pane="bottomRight" activeCell="B1" sqref="B1:N19"/>
    </sheetView>
  </sheetViews>
  <sheetFormatPr defaultRowHeight="15" x14ac:dyDescent="0.25"/>
  <cols>
    <col min="1" max="1" width="0.140625" style="62" customWidth="1"/>
    <col min="2" max="2" width="53.140625" style="62" customWidth="1"/>
    <col min="3" max="3" width="10.5703125" style="62" bestFit="1" customWidth="1"/>
    <col min="4" max="13" width="11.140625" style="62" customWidth="1"/>
    <col min="14" max="14" width="11.42578125" style="62" customWidth="1"/>
    <col min="15" max="16384" width="9.140625" style="62"/>
  </cols>
  <sheetData>
    <row r="3" spans="2:14" x14ac:dyDescent="0.25">
      <c r="B3" s="63"/>
      <c r="C3" s="63"/>
    </row>
    <row r="4" spans="2:14" x14ac:dyDescent="0.25">
      <c r="B4" s="64" t="s">
        <v>121</v>
      </c>
      <c r="C4" s="65"/>
    </row>
    <row r="6" spans="2:14" x14ac:dyDescent="0.25">
      <c r="B6" s="54" t="s">
        <v>122</v>
      </c>
      <c r="C6" s="47">
        <v>40</v>
      </c>
      <c r="D6" s="47">
        <v>80</v>
      </c>
      <c r="E6" s="47">
        <v>80</v>
      </c>
      <c r="F6" s="47">
        <v>120</v>
      </c>
      <c r="G6" s="47">
        <v>160</v>
      </c>
      <c r="H6" s="47">
        <v>160</v>
      </c>
      <c r="I6" s="47">
        <v>200</v>
      </c>
      <c r="J6" s="47">
        <v>200</v>
      </c>
      <c r="K6" s="47">
        <v>200</v>
      </c>
      <c r="L6" s="47">
        <v>200</v>
      </c>
      <c r="M6" s="47">
        <v>200</v>
      </c>
      <c r="N6" s="47">
        <v>200</v>
      </c>
    </row>
    <row r="7" spans="2:14" x14ac:dyDescent="0.25">
      <c r="B7" s="54" t="s">
        <v>98</v>
      </c>
      <c r="C7" s="47">
        <v>5000</v>
      </c>
      <c r="D7" s="47">
        <v>5000</v>
      </c>
      <c r="E7" s="47">
        <v>5000</v>
      </c>
      <c r="F7" s="47">
        <v>5000</v>
      </c>
      <c r="G7" s="47">
        <v>5000</v>
      </c>
      <c r="H7" s="47">
        <v>5000</v>
      </c>
      <c r="I7" s="47">
        <v>5000</v>
      </c>
      <c r="J7" s="47">
        <v>5000</v>
      </c>
      <c r="K7" s="47">
        <v>5000</v>
      </c>
      <c r="L7" s="47">
        <v>5000</v>
      </c>
      <c r="M7" s="47">
        <v>5000</v>
      </c>
      <c r="N7" s="47">
        <v>5000</v>
      </c>
    </row>
    <row r="8" spans="2:14" x14ac:dyDescent="0.25">
      <c r="B8" s="66" t="s">
        <v>127</v>
      </c>
      <c r="C8" s="67">
        <f t="shared" ref="C8:N8" si="0">C7*C6</f>
        <v>200000</v>
      </c>
      <c r="D8" s="67">
        <f t="shared" si="0"/>
        <v>400000</v>
      </c>
      <c r="E8" s="67">
        <f t="shared" si="0"/>
        <v>400000</v>
      </c>
      <c r="F8" s="67">
        <f t="shared" si="0"/>
        <v>600000</v>
      </c>
      <c r="G8" s="67">
        <f t="shared" si="0"/>
        <v>800000</v>
      </c>
      <c r="H8" s="67">
        <f t="shared" si="0"/>
        <v>800000</v>
      </c>
      <c r="I8" s="67">
        <f t="shared" si="0"/>
        <v>1000000</v>
      </c>
      <c r="J8" s="67">
        <f t="shared" si="0"/>
        <v>1000000</v>
      </c>
      <c r="K8" s="67">
        <f t="shared" si="0"/>
        <v>1000000</v>
      </c>
      <c r="L8" s="67">
        <f t="shared" si="0"/>
        <v>1000000</v>
      </c>
      <c r="M8" s="67">
        <f t="shared" si="0"/>
        <v>1000000</v>
      </c>
      <c r="N8" s="67">
        <f t="shared" si="0"/>
        <v>1000000</v>
      </c>
    </row>
    <row r="9" spans="2:14" x14ac:dyDescent="0.25">
      <c r="B9" s="54" t="s">
        <v>123</v>
      </c>
      <c r="C9" s="47">
        <v>700</v>
      </c>
      <c r="D9" s="47">
        <v>700</v>
      </c>
      <c r="E9" s="47">
        <v>700</v>
      </c>
      <c r="F9" s="47">
        <v>700</v>
      </c>
      <c r="G9" s="47">
        <v>700</v>
      </c>
      <c r="H9" s="47">
        <v>700</v>
      </c>
      <c r="I9" s="47">
        <v>700</v>
      </c>
      <c r="J9" s="47">
        <v>700</v>
      </c>
      <c r="K9" s="47">
        <v>700</v>
      </c>
      <c r="L9" s="47">
        <v>700</v>
      </c>
      <c r="M9" s="47">
        <v>700</v>
      </c>
      <c r="N9" s="47">
        <v>700</v>
      </c>
    </row>
    <row r="10" spans="2:14" x14ac:dyDescent="0.25">
      <c r="B10" s="69" t="s">
        <v>114</v>
      </c>
      <c r="C10" s="70">
        <f t="shared" ref="C10:N10" si="1">C9*C6</f>
        <v>28000</v>
      </c>
      <c r="D10" s="70">
        <f t="shared" si="1"/>
        <v>56000</v>
      </c>
      <c r="E10" s="70">
        <f t="shared" si="1"/>
        <v>56000</v>
      </c>
      <c r="F10" s="70">
        <f t="shared" si="1"/>
        <v>84000</v>
      </c>
      <c r="G10" s="70">
        <f t="shared" si="1"/>
        <v>112000</v>
      </c>
      <c r="H10" s="70">
        <f t="shared" si="1"/>
        <v>112000</v>
      </c>
      <c r="I10" s="70">
        <f t="shared" si="1"/>
        <v>140000</v>
      </c>
      <c r="J10" s="70">
        <f t="shared" si="1"/>
        <v>140000</v>
      </c>
      <c r="K10" s="70">
        <f t="shared" si="1"/>
        <v>140000</v>
      </c>
      <c r="L10" s="70">
        <f t="shared" si="1"/>
        <v>140000</v>
      </c>
      <c r="M10" s="70">
        <f t="shared" si="1"/>
        <v>140000</v>
      </c>
      <c r="N10" s="70">
        <f t="shared" si="1"/>
        <v>140000</v>
      </c>
    </row>
    <row r="11" spans="2:14" x14ac:dyDescent="0.25">
      <c r="B11" s="69" t="s">
        <v>124</v>
      </c>
      <c r="C11" s="70">
        <f>C8*0.17</f>
        <v>34000</v>
      </c>
      <c r="D11" s="70">
        <f>D8*0.17</f>
        <v>68000</v>
      </c>
      <c r="E11" s="70">
        <f>E8*0.17</f>
        <v>68000</v>
      </c>
      <c r="F11" s="70">
        <f t="shared" ref="F11:N11" si="2">F8*0.17</f>
        <v>102000.00000000001</v>
      </c>
      <c r="G11" s="70">
        <f t="shared" si="2"/>
        <v>136000</v>
      </c>
      <c r="H11" s="70">
        <f t="shared" si="2"/>
        <v>136000</v>
      </c>
      <c r="I11" s="70">
        <f t="shared" si="2"/>
        <v>170000</v>
      </c>
      <c r="J11" s="70">
        <f t="shared" si="2"/>
        <v>170000</v>
      </c>
      <c r="K11" s="70">
        <f t="shared" si="2"/>
        <v>170000</v>
      </c>
      <c r="L11" s="70">
        <f t="shared" si="2"/>
        <v>170000</v>
      </c>
      <c r="M11" s="70">
        <f t="shared" si="2"/>
        <v>170000</v>
      </c>
      <c r="N11" s="70">
        <f t="shared" si="2"/>
        <v>170000</v>
      </c>
    </row>
    <row r="12" spans="2:14" x14ac:dyDescent="0.25">
      <c r="B12" s="69" t="s">
        <v>53</v>
      </c>
      <c r="C12" s="70">
        <f t="shared" ref="C12:N12" si="3">C8*0.05</f>
        <v>10000</v>
      </c>
      <c r="D12" s="70">
        <f t="shared" si="3"/>
        <v>20000</v>
      </c>
      <c r="E12" s="70">
        <f t="shared" si="3"/>
        <v>20000</v>
      </c>
      <c r="F12" s="70">
        <f t="shared" si="3"/>
        <v>30000</v>
      </c>
      <c r="G12" s="70">
        <f t="shared" si="3"/>
        <v>40000</v>
      </c>
      <c r="H12" s="70">
        <f t="shared" si="3"/>
        <v>40000</v>
      </c>
      <c r="I12" s="70">
        <f t="shared" si="3"/>
        <v>50000</v>
      </c>
      <c r="J12" s="70">
        <f t="shared" si="3"/>
        <v>50000</v>
      </c>
      <c r="K12" s="70">
        <f t="shared" si="3"/>
        <v>50000</v>
      </c>
      <c r="L12" s="70">
        <f t="shared" si="3"/>
        <v>50000</v>
      </c>
      <c r="M12" s="70">
        <f t="shared" si="3"/>
        <v>50000</v>
      </c>
      <c r="N12" s="70">
        <f t="shared" si="3"/>
        <v>50000</v>
      </c>
    </row>
    <row r="13" spans="2:14" x14ac:dyDescent="0.25">
      <c r="B13" s="66"/>
      <c r="C13" s="67">
        <f t="shared" ref="C13:N13" si="4">C12+C11+C10</f>
        <v>72000</v>
      </c>
      <c r="D13" s="67">
        <f t="shared" si="4"/>
        <v>144000</v>
      </c>
      <c r="E13" s="67">
        <f t="shared" si="4"/>
        <v>144000</v>
      </c>
      <c r="F13" s="67">
        <f t="shared" si="4"/>
        <v>216000</v>
      </c>
      <c r="G13" s="67">
        <f t="shared" si="4"/>
        <v>288000</v>
      </c>
      <c r="H13" s="67">
        <f t="shared" si="4"/>
        <v>288000</v>
      </c>
      <c r="I13" s="67">
        <f t="shared" si="4"/>
        <v>360000</v>
      </c>
      <c r="J13" s="67">
        <f t="shared" si="4"/>
        <v>360000</v>
      </c>
      <c r="K13" s="67">
        <f t="shared" si="4"/>
        <v>360000</v>
      </c>
      <c r="L13" s="67">
        <f t="shared" si="4"/>
        <v>360000</v>
      </c>
      <c r="M13" s="67">
        <f t="shared" si="4"/>
        <v>360000</v>
      </c>
      <c r="N13" s="67">
        <f t="shared" si="4"/>
        <v>360000</v>
      </c>
    </row>
    <row r="15" spans="2:14" x14ac:dyDescent="0.25">
      <c r="B15" s="66" t="s">
        <v>61</v>
      </c>
      <c r="C15" s="67">
        <f>'Операционные расходы'!E34+'Операционные расходы'!E42+'Операционные расходы'!E31+'Операционные расходы'!E45</f>
        <v>37500</v>
      </c>
      <c r="D15" s="67">
        <f>PL!E52+PL!E67</f>
        <v>49500</v>
      </c>
      <c r="E15" s="67">
        <f>PL!F52+PL!F67</f>
        <v>49500</v>
      </c>
      <c r="F15" s="67">
        <f>PL!G52+PL!G67</f>
        <v>61500</v>
      </c>
      <c r="G15" s="67">
        <f>PL!H52+PL!H67</f>
        <v>73500</v>
      </c>
      <c r="H15" s="67">
        <f>PL!I52+PL!I67</f>
        <v>73500</v>
      </c>
      <c r="I15" s="67">
        <f>PL!J52+PL!J67</f>
        <v>85500</v>
      </c>
      <c r="J15" s="67">
        <f>PL!K52+PL!K67</f>
        <v>85500</v>
      </c>
      <c r="K15" s="67">
        <f>PL!L52+PL!L67</f>
        <v>85500</v>
      </c>
      <c r="L15" s="67">
        <f>PL!M52+PL!M67</f>
        <v>85500</v>
      </c>
      <c r="M15" s="67">
        <f>PL!N52+PL!N67</f>
        <v>85500</v>
      </c>
      <c r="N15" s="67">
        <f>PL!O52+PL!O67</f>
        <v>85500</v>
      </c>
    </row>
    <row r="16" spans="2:14" x14ac:dyDescent="0.25">
      <c r="B16" s="62" t="s">
        <v>63</v>
      </c>
      <c r="C16" s="68">
        <f>C15+C13</f>
        <v>109500</v>
      </c>
      <c r="D16" s="68">
        <f t="shared" ref="D16:N16" si="5">D15+D13</f>
        <v>193500</v>
      </c>
      <c r="E16" s="68">
        <f t="shared" si="5"/>
        <v>193500</v>
      </c>
      <c r="F16" s="68">
        <f t="shared" si="5"/>
        <v>277500</v>
      </c>
      <c r="G16" s="68">
        <f t="shared" si="5"/>
        <v>361500</v>
      </c>
      <c r="H16" s="68">
        <f t="shared" si="5"/>
        <v>361500</v>
      </c>
      <c r="I16" s="68">
        <f t="shared" si="5"/>
        <v>445500</v>
      </c>
      <c r="J16" s="68">
        <f t="shared" si="5"/>
        <v>445500</v>
      </c>
      <c r="K16" s="68">
        <f t="shared" si="5"/>
        <v>445500</v>
      </c>
      <c r="L16" s="68">
        <f t="shared" si="5"/>
        <v>445500</v>
      </c>
      <c r="M16" s="68">
        <f t="shared" si="5"/>
        <v>445500</v>
      </c>
      <c r="N16" s="68">
        <f t="shared" si="5"/>
        <v>445500</v>
      </c>
    </row>
    <row r="17" spans="2:14" x14ac:dyDescent="0.25">
      <c r="B17" s="71" t="s">
        <v>62</v>
      </c>
      <c r="C17" s="72">
        <f t="shared" ref="C17:N17" si="6">C8-C13-C15</f>
        <v>90500</v>
      </c>
      <c r="D17" s="72">
        <f t="shared" si="6"/>
        <v>206500</v>
      </c>
      <c r="E17" s="72">
        <f t="shared" si="6"/>
        <v>206500</v>
      </c>
      <c r="F17" s="72">
        <f t="shared" si="6"/>
        <v>322500</v>
      </c>
      <c r="G17" s="72">
        <f t="shared" si="6"/>
        <v>438500</v>
      </c>
      <c r="H17" s="72">
        <f t="shared" si="6"/>
        <v>438500</v>
      </c>
      <c r="I17" s="72">
        <f t="shared" si="6"/>
        <v>554500</v>
      </c>
      <c r="J17" s="72">
        <f t="shared" si="6"/>
        <v>554500</v>
      </c>
      <c r="K17" s="72">
        <f t="shared" si="6"/>
        <v>554500</v>
      </c>
      <c r="L17" s="72">
        <f t="shared" si="6"/>
        <v>554500</v>
      </c>
      <c r="M17" s="72">
        <f t="shared" si="6"/>
        <v>554500</v>
      </c>
      <c r="N17" s="72">
        <f t="shared" si="6"/>
        <v>554500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9"/>
  <sheetViews>
    <sheetView workbookViewId="0">
      <selection activeCell="B4" sqref="B4:Q4"/>
    </sheetView>
  </sheetViews>
  <sheetFormatPr defaultRowHeight="15" x14ac:dyDescent="0.25"/>
  <sheetData>
    <row r="4" spans="2:17" ht="109.5" customHeight="1" x14ac:dyDescent="0.25">
      <c r="B4" s="159" t="s">
        <v>93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9" spans="2:17" ht="184.5" customHeight="1" x14ac:dyDescent="0.25">
      <c r="B9" s="159" t="s">
        <v>94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</row>
  </sheetData>
  <mergeCells count="2">
    <mergeCell ref="B4:Q4"/>
    <mergeCell ref="B9:Q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Ключевые показатели</vt:lpstr>
      <vt:lpstr>PL</vt:lpstr>
      <vt:lpstr>Доходы</vt:lpstr>
      <vt:lpstr>Себестоимость</vt:lpstr>
      <vt:lpstr>Операционные расходы</vt:lpstr>
      <vt:lpstr>Расчет окупаемости</vt:lpstr>
      <vt:lpstr>словарь</vt:lpstr>
      <vt:lpstr>PL!Область_печати</vt:lpstr>
      <vt:lpstr>Доходы!Область_печати</vt:lpstr>
      <vt:lpstr>'Ключевые показатели'!Область_печати</vt:lpstr>
      <vt:lpstr>'Операционные расходы'!Область_печати</vt:lpstr>
      <vt:lpstr>Себестоимость!Область_печати</vt:lpstr>
    </vt:vector>
  </TitlesOfParts>
  <Company>Тюнинг &amp; Сервис</Company>
  <LinksUpToDate>false</LinksUpToDate>
  <SharedDoc>false</SharedDoc>
  <HyperlinkBase>http://www.carnano.biz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Финансовый  план</dc:title>
  <dc:subject>Unibrait</dc:subject>
  <dc:creator>Unibrait Technology</dc:creator>
  <dc:description>Регионы</dc:description>
  <cp:lastModifiedBy>123</cp:lastModifiedBy>
  <cp:lastPrinted>2013-09-05T09:29:17Z</cp:lastPrinted>
  <dcterms:created xsi:type="dcterms:W3CDTF">2011-06-16T01:41:35Z</dcterms:created>
  <dcterms:modified xsi:type="dcterms:W3CDTF">2014-06-10T05:54:49Z</dcterms:modified>
</cp:coreProperties>
</file>